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28800" windowHeight="15960"/>
  </bookViews>
  <sheets>
    <sheet name="Имущество +" sheetId="3" r:id="rId1"/>
    <sheet name="Лист1" sheetId="1" r:id="rId2"/>
  </sheets>
  <definedNames>
    <definedName name="_xlnm.Print_Titles" localSheetId="0">'Имущество +'!$6:$8</definedName>
  </definedNames>
  <calcPr calcId="145621" refMode="R1C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P43" i="3" l="1"/>
  <c r="M43" i="3"/>
  <c r="N43" i="3"/>
  <c r="O43" i="3"/>
  <c r="H43" i="3"/>
  <c r="G43" i="3"/>
  <c r="N15" i="3" l="1"/>
  <c r="G42" i="3" l="1"/>
  <c r="G41" i="3"/>
  <c r="G39" i="3"/>
  <c r="G38" i="3"/>
  <c r="G34" i="3"/>
  <c r="G33" i="3"/>
  <c r="G31" i="3"/>
  <c r="G30" i="3"/>
  <c r="G29" i="3"/>
  <c r="G28" i="3"/>
  <c r="G26" i="3"/>
  <c r="G22" i="3"/>
  <c r="G21" i="3"/>
  <c r="G20" i="3"/>
  <c r="G18" i="3"/>
  <c r="G17" i="3"/>
  <c r="G16" i="3"/>
  <c r="G15" i="3"/>
  <c r="G14" i="3"/>
  <c r="G13" i="3"/>
  <c r="G12" i="3"/>
  <c r="H12" i="3" l="1"/>
  <c r="H13" i="3"/>
  <c r="H14" i="3"/>
  <c r="H15" i="3"/>
  <c r="H16" i="3"/>
  <c r="H17" i="3"/>
  <c r="H18" i="3"/>
  <c r="G19" i="3"/>
  <c r="G11" i="3" s="1"/>
  <c r="H19" i="3"/>
  <c r="H20" i="3"/>
  <c r="H21" i="3"/>
  <c r="H22" i="3"/>
  <c r="H23" i="3"/>
  <c r="H24" i="3"/>
  <c r="H25" i="3"/>
  <c r="H26" i="3"/>
  <c r="H28" i="3"/>
  <c r="G27" i="3"/>
  <c r="H29" i="3"/>
  <c r="H30" i="3"/>
  <c r="H31" i="3"/>
  <c r="H11" i="3" l="1"/>
  <c r="H27" i="3"/>
  <c r="G10" i="3"/>
  <c r="N31" i="3"/>
  <c r="M31" i="3"/>
  <c r="P31" i="3" s="1"/>
  <c r="N30" i="3"/>
  <c r="P30" i="3" s="1"/>
  <c r="N29" i="3"/>
  <c r="P29" i="3" s="1"/>
  <c r="N28" i="3"/>
  <c r="M28" i="3"/>
  <c r="N26" i="3"/>
  <c r="P26" i="3" s="1"/>
  <c r="N25" i="3"/>
  <c r="P25" i="3" s="1"/>
  <c r="N24" i="3"/>
  <c r="P24" i="3" s="1"/>
  <c r="N23" i="3"/>
  <c r="P23" i="3" s="1"/>
  <c r="N22" i="3"/>
  <c r="M22" i="3"/>
  <c r="P22" i="3" s="1"/>
  <c r="N21" i="3"/>
  <c r="M21" i="3"/>
  <c r="P21" i="3" s="1"/>
  <c r="N20" i="3"/>
  <c r="M20" i="3"/>
  <c r="P20" i="3" s="1"/>
  <c r="N19" i="3"/>
  <c r="M19" i="3"/>
  <c r="N18" i="3"/>
  <c r="M18" i="3"/>
  <c r="P18" i="3" s="1"/>
  <c r="N17" i="3"/>
  <c r="M17" i="3"/>
  <c r="P17" i="3" s="1"/>
  <c r="N16" i="3"/>
  <c r="M16" i="3"/>
  <c r="P16" i="3" s="1"/>
  <c r="M15" i="3"/>
  <c r="P15" i="3" s="1"/>
  <c r="N14" i="3"/>
  <c r="M14" i="3"/>
  <c r="P14" i="3" s="1"/>
  <c r="N13" i="3"/>
  <c r="M13" i="3"/>
  <c r="P13" i="3" s="1"/>
  <c r="N12" i="3"/>
  <c r="M12" i="3"/>
  <c r="P12" i="3" s="1"/>
  <c r="O10" i="3"/>
  <c r="M32" i="3"/>
  <c r="H32" i="3"/>
  <c r="N34" i="3"/>
  <c r="G32" i="3"/>
  <c r="O33" i="3"/>
  <c r="N33" i="3"/>
  <c r="N35" i="3"/>
  <c r="P35" i="3" s="1"/>
  <c r="G35" i="3"/>
  <c r="N39" i="3"/>
  <c r="M39" i="3"/>
  <c r="O38" i="3"/>
  <c r="M38" i="3"/>
  <c r="N40" i="3"/>
  <c r="O40" i="3"/>
  <c r="M40" i="3"/>
  <c r="H40" i="3"/>
  <c r="P42" i="3"/>
  <c r="P41" i="3"/>
  <c r="G40" i="3"/>
  <c r="M27" i="3" l="1"/>
  <c r="P28" i="3"/>
  <c r="N32" i="3"/>
  <c r="P19" i="3"/>
  <c r="P33" i="3"/>
  <c r="P40" i="3"/>
  <c r="G36" i="3"/>
  <c r="N27" i="3"/>
  <c r="H10" i="3"/>
  <c r="H36" i="3" s="1"/>
  <c r="H44" i="3" s="1"/>
  <c r="P27" i="3"/>
  <c r="M11" i="3"/>
  <c r="M10" i="3" s="1"/>
  <c r="M36" i="3" s="1"/>
  <c r="M44" i="3" s="1"/>
  <c r="O32" i="3"/>
  <c r="N11" i="3"/>
  <c r="P38" i="3"/>
  <c r="N10" i="3" l="1"/>
  <c r="N36" i="3" s="1"/>
  <c r="N44" i="3" s="1"/>
  <c r="P32" i="3"/>
  <c r="O36" i="3"/>
  <c r="O44" i="3" s="1"/>
  <c r="P11" i="3"/>
  <c r="P10" i="3" s="1"/>
  <c r="P36" i="3" s="1"/>
  <c r="P44" i="3" s="1"/>
  <c r="G44" i="3"/>
</calcChain>
</file>

<file path=xl/sharedStrings.xml><?xml version="1.0" encoding="utf-8"?>
<sst xmlns="http://schemas.openxmlformats.org/spreadsheetml/2006/main" count="187" uniqueCount="161">
  <si>
    <t>№</t>
  </si>
  <si>
    <t>Примечания</t>
  </si>
  <si>
    <t>Раздел 1. Реализация непрофильных активов</t>
  </si>
  <si>
    <t>Итого по разделу 1:</t>
  </si>
  <si>
    <t>Раздел 2. Сохранение непрофильных активов</t>
  </si>
  <si>
    <t>Итого по разделу 2:</t>
  </si>
  <si>
    <t>Основная характеристика (год ввода в эксплуатацию; площадь, кв.м/ протяженность, м)</t>
  </si>
  <si>
    <t xml:space="preserve">Адрес (местоположение) </t>
  </si>
  <si>
    <t>Итого, имущество:</t>
  </si>
  <si>
    <t>Наименование непрофильного актива</t>
  </si>
  <si>
    <t>Действие (планируемый способ реализации (сохранения) актива)</t>
  </si>
  <si>
    <t>Рыночная стоимость (по отчету об оценке) без НДС, тыс. руб.</t>
  </si>
  <si>
    <t>Дата отчета об оценке</t>
  </si>
  <si>
    <t>Расходы на содержание актива</t>
  </si>
  <si>
    <t>Расходы на содержание (без амортизации), тыс. руб.</t>
  </si>
  <si>
    <t>Амортизация, тыс. руб.</t>
  </si>
  <si>
    <t>Выручка от использования актива, тыс. руб.</t>
  </si>
  <si>
    <t>Прибыль/убыток от владения активом, тыс. руб.</t>
  </si>
  <si>
    <t>Вид деятельности, к которому относится использование непрофильного актива</t>
  </si>
  <si>
    <t>Кадастровый номер (иное средство индивидуализации актива)</t>
  </si>
  <si>
    <t>Информация о правоустанавливающих документах (реквизиты записи регистрации в ЕГРН) и об обременениях</t>
  </si>
  <si>
    <t>Балансовая (остаточная) стоимость на 30.09.2024, тыс. руб.</t>
  </si>
  <si>
    <t xml:space="preserve">Мини ТЭЦ "Северная". Жидко-топливная турбинная электрогенераторная установка OPRA DTG1,8/L № 1  </t>
  </si>
  <si>
    <t>Инвентарный 
№ 1013</t>
  </si>
  <si>
    <t>Производство электрической энергии</t>
  </si>
  <si>
    <t>Приморский край, остров Русский, пос. Поспелово, д. 17</t>
  </si>
  <si>
    <t xml:space="preserve">Сохранение </t>
  </si>
  <si>
    <t xml:space="preserve">Мини ТЭЦ "Северная". Жидко-топливная турбинная электрогенераторная установка OPRA DTG1,8/L № 2  </t>
  </si>
  <si>
    <t>Инвентарный 
№ 1015</t>
  </si>
  <si>
    <t xml:space="preserve">Реестр непрофильных активов АО "ДВУЭК-ГенерацияСети" </t>
  </si>
  <si>
    <t>Генераторные установки</t>
  </si>
  <si>
    <t>-</t>
  </si>
  <si>
    <t>движимое имущество</t>
  </si>
  <si>
    <t xml:space="preserve">Установки приобретались в рамках строительства объектов саммита АТЭС-2012 (Мини ТЭЦ "Северная"), в настоящее время в производственной деятельности не используются. Представляют собой мобильное энергетическое оборудование, которое может быть использовано в качестве основных, резервных либо вспомогательных источников электроэнергии. 
В 2022 году последовательно проведены процедуры по конкурентной продаже актива: три аукциона на повышение со снижением начальной цены до 80% от рыночной стоимости. Все проведенные процедуры продажи признаны несостоявшимися по причине отсутствия заявок. 
В соответствии с протоколом совещания у заместителя Министра энергетики РФ Е.П. Грабчака от 29.05.2023 № ЕГ-200пр субъектам электроэнергетики рекомендовано обеспечить хранение основного подстанционного оборудования энергообъектов, незадействованного в процессе эксплуатации, но возможного к повторному применению, исключив его продажу третьим лицам (пункт 4 протокола).
Целесообразно сохранение актива до исключения возможности его использования для нужд Группы РусГидро. </t>
  </si>
  <si>
    <t xml:space="preserve">Нежилое помещение  </t>
  </si>
  <si>
    <t>25:28:020018:1814
инв № 1561</t>
  </si>
  <si>
    <t xml:space="preserve">259 кв.м. </t>
  </si>
  <si>
    <t>Офисный фонд</t>
  </si>
  <si>
    <t xml:space="preserve">Приморский край,
г.Владивосток,
ул. Станюковича, 1 </t>
  </si>
  <si>
    <t>Оценка не проводилась</t>
  </si>
  <si>
    <t>Аренда</t>
  </si>
  <si>
    <t>25:28:020018:1735
инв. № 1174</t>
  </si>
  <si>
    <t xml:space="preserve"> часть помещения площадью 
538,3 кв.м. </t>
  </si>
  <si>
    <t>25:28:020018:1814-25/001/2019-2, обременений нет</t>
  </si>
  <si>
    <t>25:28:020018:1735-25/001/2019-2, обременений нет</t>
  </si>
  <si>
    <t xml:space="preserve">После мероприятий по реорганизации АО "ДВЭУК" помещения для нужд АО "ДВЭУК-ГенерацияСети" не используются. 
С 01.12.2021 помещения переданы в аренду ООО "СНРГ" для размещения АО "ТК "РусГидро".  </t>
  </si>
  <si>
    <t>Передвижная мобильная подстанция (ПМП 25МВА 110/10кВ)</t>
  </si>
  <si>
    <t>ZCAZX4M0060013875
ZCAZX4M0060013873
инв № 000000059</t>
  </si>
  <si>
    <t>25 МВт</t>
  </si>
  <si>
    <t>Передача электрической энергии</t>
  </si>
  <si>
    <t>Продажа</t>
  </si>
  <si>
    <t>Объект приобретен в 2008 году для электроснабжения коммунальных потребителей ПАО "Камчатскэнерго". Объект для нужд Общества не используется, арендные правоотношения отсутствуют, актив передан на хранение ПАО "Камчатскэнерго" по договору от 30.08.2011. 
Конкурентные процедуры продажи, проведенные в 2021-2023 гг., признаны несостоявшимися по причине отсутствия заявок. 
В с обращением потенциального покупателя - ООО "МонолитЕврострой", целесообразна актуализация рыночной стоимости и проведение конкурентных процедур продажи с условием о рассрочке платежа.</t>
  </si>
  <si>
    <t>Контейнерная  дизельэлектростанция</t>
  </si>
  <si>
    <t>Заводской № 837
Инв.№ 2041</t>
  </si>
  <si>
    <t>1000 кВт</t>
  </si>
  <si>
    <t>Республика Саха (Якутия), 
г. Среднеколымск, 
ул. Петранкиных, д. 7</t>
  </si>
  <si>
    <t>Прямая продажа в пользу компании Группы РусГидро</t>
  </si>
  <si>
    <t>Приобретение объектов было предусмотрено проектной документацией при строительстве мини-ТЭЦ "Океанариум" в качестве резервного источника электро и теплоснабжения. Объекты не учтены в схеме электро и теплоснабжения региона. В настоящее время объекты для нужд Общества не используются. Объекты перемещены на территорию АО "Сахаэнерго": Республика Саха (Якутия), г. Среднеколымск, ул. Петранкиных, д. 7), у которого имеется заинтересованность в данном имуществе (письмо от 01.07.2022 № СЭ-5239). Активы переданы на ответственное хранение АО "Сахаэнерго" (договор хранения от 01.08.2022 № 1). 
Учитавая потребность АО "Сахаэнерго" в использовании активовзаключен договор аренды.
Целесообразная прямая продажа в пользу АО "Сахаэнерго" по балансовой (остаточной) стоимости АО "Сахаэнерго".</t>
  </si>
  <si>
    <t>Контейнерная  дизельэлектростанция_2</t>
  </si>
  <si>
    <t>Заводской № 838
Инв.№ 2821</t>
  </si>
  <si>
    <t>Контейнерные ДЭС</t>
  </si>
  <si>
    <t>Водопровод от границ НОК «Приморский океанариум» до точки подключения к магистральному водопроводу</t>
  </si>
  <si>
    <t>Хозяйственно-питьевой и противопожарный водопровод</t>
  </si>
  <si>
    <t>Подпорная стена ПС 1</t>
  </si>
  <si>
    <t>Подпорная стена ПС 2</t>
  </si>
  <si>
    <t>протяженность 35 м, 2014 год</t>
  </si>
  <si>
    <t>Водопроводная насосная станция (ВНС)</t>
  </si>
  <si>
    <t>Поддон для резервуаров</t>
  </si>
  <si>
    <t>Ограждение площадки ВНС</t>
  </si>
  <si>
    <t>протяженность 240 м, 2014 год</t>
  </si>
  <si>
    <t>Внутриплощадочные дороги</t>
  </si>
  <si>
    <t>протяжённость 74 м, 2014 год</t>
  </si>
  <si>
    <t>Резервуар запаса исходной воды №1</t>
  </si>
  <si>
    <t>Резервуар запаса исходной воды №2</t>
  </si>
  <si>
    <t>Кабельные линии 10 кВ</t>
  </si>
  <si>
    <t>протяжённость 344 м, 2014 год</t>
  </si>
  <si>
    <t>Подъездная автодорога</t>
  </si>
  <si>
    <t>протяжённость 56 м, 2014 год</t>
  </si>
  <si>
    <t>Установка водоснабжения "Гранфлоу" УНВ 4DPV65-80 22кВт 4P/П-200 мм</t>
  </si>
  <si>
    <t>2014 год</t>
  </si>
  <si>
    <t>Установка водяного пожаротушения "Гранфлоу" УНВп 4(2+2) МЕС -АТЗ/100А 75 кВч 2Р РР/П 250DPV65-80 22к</t>
  </si>
  <si>
    <t>Оборудование дистанционного контроля и управления ВНС Шкаф МСКУ ВНС</t>
  </si>
  <si>
    <t>Комплектн. трансформаторная подстанция 2 КТП/ТБУ К-К 250/10/0,4 УХЛ 1</t>
  </si>
  <si>
    <t>Сети канализации от точек подключения к магистральным сетям до границы землеотвода НОК «Приморский океанариум»</t>
  </si>
  <si>
    <t>Хозяйственно-бытовой напорный канализационный коллектор</t>
  </si>
  <si>
    <t>протяженность 2700 м, 2014 год</t>
  </si>
  <si>
    <t>Комплектная насосная станция Flo Tenk-KNS-30-47-2</t>
  </si>
  <si>
    <t>Комплектн. трансформаторная подстанция 2 БКТП - П - К/К-160-10/0,4 - У1</t>
  </si>
  <si>
    <t>Кабельные линии 0,4 кВ</t>
  </si>
  <si>
    <t>протяженность 120 м, 2014 год</t>
  </si>
  <si>
    <t>Комплекс объектов водоснабжения и канализации</t>
  </si>
  <si>
    <t>25:28:000000:63474</t>
  </si>
  <si>
    <t>25:28:000000:63481</t>
  </si>
  <si>
    <t>25:28:000000:63482</t>
  </si>
  <si>
    <t>25:28:000000:63484</t>
  </si>
  <si>
    <t>25:28:000000:63479</t>
  </si>
  <si>
    <t>25:28:000000:63483</t>
  </si>
  <si>
    <t>25:28:000000:63475</t>
  </si>
  <si>
    <t>25:28:000000:63477</t>
  </si>
  <si>
    <t>25:28:000000:63478</t>
  </si>
  <si>
    <t>25:28:000000:63480</t>
  </si>
  <si>
    <t>25:28:000000:63476</t>
  </si>
  <si>
    <t>1.1.1</t>
  </si>
  <si>
    <t>1.1.2</t>
  </si>
  <si>
    <t>1.1.3</t>
  </si>
  <si>
    <t>1.1.4</t>
  </si>
  <si>
    <t>1.1.5</t>
  </si>
  <si>
    <t>1.1.6</t>
  </si>
  <si>
    <t>1.1.7</t>
  </si>
  <si>
    <t>1.1.8</t>
  </si>
  <si>
    <t>1.1.9</t>
  </si>
  <si>
    <t>1.1.10</t>
  </si>
  <si>
    <t>1.1.11</t>
  </si>
  <si>
    <t>1.1.12</t>
  </si>
  <si>
    <t>1.1.13</t>
  </si>
  <si>
    <t>1.1.14</t>
  </si>
  <si>
    <t>1.1.15</t>
  </si>
  <si>
    <t>1.2.1</t>
  </si>
  <si>
    <t>1.2.2</t>
  </si>
  <si>
    <t>1.2.3</t>
  </si>
  <si>
    <t>1.2.4</t>
  </si>
  <si>
    <t>2.1</t>
  </si>
  <si>
    <t>2.2</t>
  </si>
  <si>
    <t>3</t>
  </si>
  <si>
    <t>4</t>
  </si>
  <si>
    <t>5</t>
  </si>
  <si>
    <t>6</t>
  </si>
  <si>
    <t>6.1</t>
  </si>
  <si>
    <t>6.2</t>
  </si>
  <si>
    <t>1</t>
  </si>
  <si>
    <t>1.1</t>
  </si>
  <si>
    <t>1.2</t>
  </si>
  <si>
    <t>2</t>
  </si>
  <si>
    <t>Инфраструктурный объект</t>
  </si>
  <si>
    <t>25:28:000000:63485</t>
  </si>
  <si>
    <t>25:28:000000:63486</t>
  </si>
  <si>
    <t>Продажа / Прямая продажа в пользу Приморского края</t>
  </si>
  <si>
    <t>протяженность 67 м, 2014 год</t>
  </si>
  <si>
    <t>протяженность 2260 м, 2014 год</t>
  </si>
  <si>
    <t>площадь 107,5 кв. м</t>
  </si>
  <si>
    <t>площадь 756 кв. м, 2014 год</t>
  </si>
  <si>
    <t>объем 500 куб. м, 2014 год</t>
  </si>
  <si>
    <t xml:space="preserve">Строительство Объектов осуществлено АО «ДВЭУК» в рамках реализации мероприятия подпрограммы «Развитие г. Владивостока как центра международного сотрудничества в Азиатско-Тихоокеанском регионе» Федеральной целевой программы «Экономическое и социальное развитие Дальнего Востока и Забайкалья на период до 2013 года» - «Обеспечение внешнего энергоснабжения Государственной резиденции Российской Федерации на п-ове Кондратенко острова Русский Приморского края, обеспечение подключения НОК «Приморский океанариум» к магистральным инженерным сетям острова Русский». 
В производственной деятельности Общества не используются.
Целесообразна актуализация рыночной стоимости Объектов и их продажа на конкурентной основе. В случае подтверждения заинтересованности субъекта в приобретении Объектов - прямая продажа.
</t>
  </si>
  <si>
    <t>Камчатский край, 
г. Петропавловск-Камчатский</t>
  </si>
  <si>
    <t>Приморский край, г. Владивосток,
о. Русский, п-ов. Саперный</t>
  </si>
  <si>
    <t xml:space="preserve">год ввода 2012, электрическая мощность 1800 кВт, 
номинальная тепловая мощность -4300 кВт
</t>
  </si>
  <si>
    <t>25:28:000000:63474-25/001/2019-2 обременений нет</t>
  </si>
  <si>
    <t>25:28:000000:63479-25/001/2019-2 обременений нет</t>
  </si>
  <si>
    <t>25:28:000000:63475-25/001/2019-2 обременений нет</t>
  </si>
  <si>
    <t>25:28:000000:63477-25/001/2019-2 обременений нет</t>
  </si>
  <si>
    <t>25:28:000000:63478-25/001/2019-2 обременений нет</t>
  </si>
  <si>
    <t>25:28:000000:63480-25/001/2019-2 обременений нет</t>
  </si>
  <si>
    <t>25:28:000000:63476-25/001/2019-2 обременений нет</t>
  </si>
  <si>
    <t>25:28:000000:63485-25/001/2019-2 обременений нет</t>
  </si>
  <si>
    <t>25:28:000000:63486-25/001/2019-2 обременений нет</t>
  </si>
  <si>
    <t>25:28:000000:63481-25/001/2019-2 обременений нет</t>
  </si>
  <si>
    <t>25:28:000000:6348225/001/2019-2 обременений нет</t>
  </si>
  <si>
    <t>25:28:000000:63484-25/001/2019-2 обременений нет</t>
  </si>
  <si>
    <t>25:28:000000:63483-25/001/2019-2 обременений нет</t>
  </si>
  <si>
    <t>Доходы и расходы от содержания актива (факт 2024 года)</t>
  </si>
  <si>
    <t>Приложение № 2
к решению Совета директоров АО «ДВЭУК-ГенерацияСети»
от «05» декабря 2024 года (протокол от 06.12.2024 № 69)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</si>
</sst>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0.00\ "/>
  </numFmts>
  <fonts count="15"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0"/>
      <name val="Arial"/>
      <family val="2"/>
      <charset val="204"/>
    </font>
    <font>
      <sz val="10"/>
      <name val="Helv"/>
      <charset val="204"/>
    </font>
    <font>
      <sz val="10"/>
      <color theme="1"/>
      <name val="Times New Roman"/>
      <family val="1"/>
      <charset val="204"/>
    </font>
    <font>
      <b/>
      <sz val="10"/>
      <name val="Arial Cyr"/>
      <charset val="204"/>
    </font>
    <font>
      <sz val="8"/>
      <name val="Calibri"/>
      <family val="2"/>
      <scheme val="minor"/>
    </font>
    <font>
      <sz val="11"/>
      <color theme="1"/>
      <name val="Calibri"/>
      <family val="2"/>
      <scheme val="minor"/>
    </font>
    <font>
      <sz val="10"/>
      <color theme="1"/>
      <name val="Times New Roman"/>
      <family val="1"/>
    </font>
    <font>
      <sz val="10"/>
      <name val="Times New Roman"/>
      <family val="1"/>
    </font>
    <font>
      <b/>
      <sz val="10"/>
      <color theme="1"/>
      <name val="Times New Roman"/>
      <family val="1"/>
      <charset val="204"/>
    </font>
    <font>
      <sz val="10"/>
      <color rgb="FF000000"/>
      <name val="Times New Roman"/>
      <family val="1"/>
      <charset val="204"/>
    </font>
    <font>
      <b/>
      <sz val="10"/>
      <color rgb="FF000000"/>
      <name val="Times New Roman"/>
      <family val="1"/>
      <charset val="204"/>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FF"/>
        <bgColor indexed="64"/>
      </patternFill>
    </fill>
    <fill>
      <patternFill patternType="solid">
        <fgColor theme="0"/>
        <bgColor rgb="FFFFFFCC"/>
      </patternFill>
    </fill>
    <fill>
      <patternFill patternType="solid">
        <fgColor theme="0"/>
        <bgColor rgb="FFFFFF00"/>
      </patternFill>
    </fill>
    <fill>
      <patternFill patternType="solid">
        <fgColor rgb="FFFFFFFF"/>
        <bgColor rgb="FFFFFFCC"/>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0" fontId="1" fillId="0" borderId="0"/>
    <xf numFmtId="0" fontId="4" fillId="0" borderId="0"/>
    <xf numFmtId="0" fontId="5" fillId="0" borderId="0"/>
    <xf numFmtId="43" fontId="1" fillId="0" borderId="0" applyFont="0" applyFill="0" applyBorder="0" applyAlignment="0" applyProtection="0"/>
    <xf numFmtId="43" fontId="9" fillId="0" borderId="0" applyFont="0" applyFill="0" applyBorder="0" applyAlignment="0" applyProtection="0"/>
  </cellStyleXfs>
  <cellXfs count="116">
    <xf numFmtId="0" fontId="0" fillId="0" borderId="0" xfId="0"/>
    <xf numFmtId="0" fontId="2" fillId="0" borderId="0" xfId="1" applyFont="1" applyAlignment="1">
      <alignment horizontal="center" vertical="center"/>
    </xf>
    <xf numFmtId="0" fontId="3" fillId="0" borderId="1" xfId="1" applyFont="1" applyFill="1" applyBorder="1" applyAlignment="1">
      <alignment horizontal="left" vertical="center"/>
    </xf>
    <xf numFmtId="0" fontId="3" fillId="0" borderId="1" xfId="1" applyFont="1" applyFill="1" applyBorder="1" applyAlignment="1">
      <alignment horizontal="center" vertical="center"/>
    </xf>
    <xf numFmtId="4" fontId="3" fillId="0" borderId="1" xfId="1" applyNumberFormat="1" applyFont="1" applyFill="1" applyBorder="1" applyAlignment="1">
      <alignment horizontal="center" vertical="center"/>
    </xf>
    <xf numFmtId="0" fontId="3" fillId="0" borderId="1" xfId="1" applyFont="1" applyFill="1" applyBorder="1" applyAlignment="1">
      <alignment vertical="center"/>
    </xf>
    <xf numFmtId="0" fontId="2" fillId="0" borderId="0" xfId="1" applyFont="1" applyAlignment="1">
      <alignment vertical="center"/>
    </xf>
    <xf numFmtId="0" fontId="2" fillId="0" borderId="0" xfId="1" applyFont="1" applyAlignment="1">
      <alignment horizontal="left" vertical="center" wrapText="1"/>
    </xf>
    <xf numFmtId="4" fontId="2" fillId="0" borderId="0" xfId="1" applyNumberFormat="1" applyFont="1" applyAlignment="1">
      <alignment horizontal="center" vertical="center"/>
    </xf>
    <xf numFmtId="0" fontId="7" fillId="0" borderId="0" xfId="1" applyFont="1" applyAlignment="1">
      <alignment vertical="center" wrapText="1"/>
    </xf>
    <xf numFmtId="49" fontId="3" fillId="0" borderId="1" xfId="1" applyNumberFormat="1" applyFont="1" applyFill="1" applyBorder="1" applyAlignment="1">
      <alignment horizontal="left" vertical="center"/>
    </xf>
    <xf numFmtId="0" fontId="3" fillId="0" borderId="0" xfId="1" applyFont="1" applyFill="1" applyAlignment="1">
      <alignment horizontal="center" vertical="center"/>
    </xf>
    <xf numFmtId="49" fontId="2" fillId="0" borderId="1" xfId="1" applyNumberFormat="1" applyFont="1" applyBorder="1" applyAlignment="1">
      <alignment horizontal="center" vertical="center"/>
    </xf>
    <xf numFmtId="3" fontId="3" fillId="0" borderId="1" xfId="1" applyNumberFormat="1" applyFont="1" applyFill="1" applyBorder="1" applyAlignment="1">
      <alignment vertical="center"/>
    </xf>
    <xf numFmtId="49" fontId="2" fillId="0" borderId="0" xfId="1" applyNumberFormat="1" applyFont="1" applyAlignment="1">
      <alignment horizontal="center" vertical="center"/>
    </xf>
    <xf numFmtId="0" fontId="2" fillId="0" borderId="0" xfId="1" applyFont="1" applyFill="1" applyAlignment="1">
      <alignment vertical="center"/>
    </xf>
    <xf numFmtId="0" fontId="2" fillId="2" borderId="3" xfId="1" applyFont="1" applyFill="1" applyBorder="1" applyAlignment="1">
      <alignment horizontal="center" vertical="center" wrapText="1" shrinkToFit="1"/>
    </xf>
    <xf numFmtId="0" fontId="2" fillId="0" borderId="0" xfId="1" applyFont="1" applyAlignment="1">
      <alignment horizontal="right" vertical="center" wrapText="1"/>
    </xf>
    <xf numFmtId="0" fontId="7" fillId="0" borderId="0" xfId="1" applyFont="1" applyAlignment="1">
      <alignment vertical="center" wrapText="1"/>
    </xf>
    <xf numFmtId="0" fontId="10"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4" fontId="10" fillId="3" borderId="1" xfId="0" applyNumberFormat="1" applyFont="1" applyFill="1" applyBorder="1" applyAlignment="1">
      <alignment horizontal="center" vertical="center" wrapText="1"/>
    </xf>
    <xf numFmtId="14" fontId="10" fillId="3" borderId="1" xfId="0" applyNumberFormat="1" applyFont="1" applyFill="1" applyBorder="1" applyAlignment="1">
      <alignment horizontal="center" vertical="center" wrapText="1"/>
    </xf>
    <xf numFmtId="4" fontId="10" fillId="3" borderId="1"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14" fontId="10" fillId="3" borderId="1" xfId="0" applyNumberFormat="1" applyFont="1" applyFill="1" applyBorder="1" applyAlignment="1">
      <alignment horizontal="center" vertical="center"/>
    </xf>
    <xf numFmtId="0" fontId="11" fillId="3" borderId="1" xfId="0" applyFont="1" applyFill="1" applyBorder="1" applyAlignment="1">
      <alignment horizontal="left" vertical="center" wrapText="1"/>
    </xf>
    <xf numFmtId="4" fontId="11" fillId="3" borderId="1" xfId="0" applyNumberFormat="1" applyFont="1" applyFill="1" applyBorder="1" applyAlignment="1">
      <alignment horizontal="center" vertical="center" wrapText="1"/>
    </xf>
    <xf numFmtId="40" fontId="12" fillId="3" borderId="1" xfId="0" applyNumberFormat="1" applyFont="1" applyFill="1" applyBorder="1" applyAlignment="1">
      <alignment horizontal="center" vertical="center" wrapText="1"/>
    </xf>
    <xf numFmtId="4" fontId="12" fillId="3" borderId="1" xfId="0" applyNumberFormat="1" applyFont="1" applyFill="1" applyBorder="1" applyAlignment="1">
      <alignment horizontal="center" vertical="center" wrapText="1"/>
    </xf>
    <xf numFmtId="4" fontId="12" fillId="0" borderId="1" xfId="0" applyNumberFormat="1" applyFont="1" applyBorder="1" applyAlignment="1">
      <alignment horizontal="center" vertical="center" wrapText="1"/>
    </xf>
    <xf numFmtId="0" fontId="13" fillId="5" borderId="1" xfId="0" applyFont="1" applyFill="1" applyBorder="1" applyAlignment="1" applyProtection="1">
      <alignment horizontal="left" vertical="center" wrapText="1"/>
    </xf>
    <xf numFmtId="0" fontId="13" fillId="5" borderId="1" xfId="0" applyFont="1" applyFill="1" applyBorder="1" applyAlignment="1" applyProtection="1">
      <alignment horizontal="center" vertical="center" wrapText="1"/>
    </xf>
    <xf numFmtId="4" fontId="13" fillId="7" borderId="1" xfId="0" applyNumberFormat="1" applyFont="1" applyFill="1" applyBorder="1" applyAlignment="1" applyProtection="1">
      <alignment horizontal="center" vertical="center" wrapText="1"/>
    </xf>
    <xf numFmtId="0" fontId="13" fillId="7" borderId="1" xfId="0" applyFont="1" applyFill="1" applyBorder="1" applyAlignment="1" applyProtection="1">
      <alignment horizontal="left" vertical="center" wrapText="1"/>
    </xf>
    <xf numFmtId="0" fontId="13" fillId="7" borderId="1" xfId="0" applyFont="1" applyFill="1" applyBorder="1" applyAlignment="1" applyProtection="1">
      <alignment horizontal="center" vertical="center" wrapText="1"/>
    </xf>
    <xf numFmtId="164" fontId="12" fillId="0" borderId="1" xfId="0" applyNumberFormat="1" applyFont="1" applyBorder="1" applyAlignment="1">
      <alignment horizontal="center" vertical="center"/>
    </xf>
    <xf numFmtId="4" fontId="14" fillId="0" borderId="1" xfId="0" applyNumberFormat="1" applyFont="1" applyBorder="1" applyAlignment="1" applyProtection="1">
      <alignment horizontal="center" vertical="center"/>
    </xf>
    <xf numFmtId="4" fontId="14" fillId="7" borderId="1" xfId="0" applyNumberFormat="1" applyFont="1" applyFill="1" applyBorder="1" applyAlignment="1" applyProtection="1">
      <alignment horizontal="center" vertical="center" wrapText="1"/>
    </xf>
    <xf numFmtId="4" fontId="13" fillId="0" borderId="1" xfId="0" applyNumberFormat="1" applyFont="1" applyBorder="1" applyAlignment="1" applyProtection="1">
      <alignment horizontal="center" vertical="center"/>
    </xf>
    <xf numFmtId="49" fontId="3" fillId="0" borderId="1" xfId="1" applyNumberFormat="1" applyFont="1" applyFill="1" applyBorder="1" applyAlignment="1">
      <alignment horizontal="center" vertical="center"/>
    </xf>
    <xf numFmtId="49" fontId="2" fillId="0" borderId="1" xfId="1" applyNumberFormat="1" applyFont="1" applyFill="1" applyBorder="1" applyAlignment="1">
      <alignment horizontal="center" vertical="center"/>
    </xf>
    <xf numFmtId="164" fontId="6" fillId="0" borderId="1" xfId="5" applyNumberFormat="1" applyFont="1" applyFill="1" applyBorder="1" applyAlignment="1">
      <alignment horizontal="center" vertical="center"/>
    </xf>
    <xf numFmtId="0" fontId="6"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4" fontId="2" fillId="6" borderId="1" xfId="0" applyNumberFormat="1" applyFont="1" applyFill="1" applyBorder="1" applyAlignment="1" applyProtection="1">
      <alignment horizontal="center" vertical="center" wrapText="1"/>
    </xf>
    <xf numFmtId="4" fontId="3" fillId="6" borderId="1" xfId="0" applyNumberFormat="1" applyFont="1" applyFill="1" applyBorder="1" applyAlignment="1" applyProtection="1">
      <alignment horizontal="center" vertical="center" wrapText="1"/>
    </xf>
    <xf numFmtId="4" fontId="2" fillId="0" borderId="1" xfId="0" applyNumberFormat="1" applyFont="1" applyBorder="1" applyAlignment="1">
      <alignment horizontal="center" vertical="center" wrapText="1"/>
    </xf>
    <xf numFmtId="4" fontId="2" fillId="3" borderId="1" xfId="0"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6" fillId="3" borderId="1" xfId="0" applyNumberFormat="1" applyFont="1" applyFill="1" applyBorder="1" applyAlignment="1">
      <alignment horizontal="center" vertical="center"/>
    </xf>
    <xf numFmtId="4" fontId="6" fillId="3" borderId="1" xfId="0" applyNumberFormat="1" applyFont="1" applyFill="1" applyBorder="1" applyAlignment="1">
      <alignment horizontal="center" vertical="center" wrapText="1"/>
    </xf>
    <xf numFmtId="0" fontId="2" fillId="3" borderId="0" xfId="1" applyFont="1" applyFill="1" applyAlignment="1">
      <alignment horizontal="center" vertical="center"/>
    </xf>
    <xf numFmtId="0" fontId="7" fillId="3" borderId="0" xfId="1" applyFont="1" applyFill="1" applyAlignment="1">
      <alignment vertical="center" wrapText="1"/>
    </xf>
    <xf numFmtId="0" fontId="3" fillId="3" borderId="1" xfId="1" applyFont="1" applyFill="1" applyBorder="1" applyAlignment="1">
      <alignment horizontal="center" vertical="center"/>
    </xf>
    <xf numFmtId="4" fontId="3" fillId="3" borderId="1" xfId="1" applyNumberFormat="1" applyFont="1" applyFill="1" applyBorder="1" applyAlignment="1">
      <alignment horizontal="center" vertical="center"/>
    </xf>
    <xf numFmtId="2" fontId="6" fillId="3" borderId="1" xfId="0" applyNumberFormat="1" applyFont="1" applyFill="1" applyBorder="1" applyAlignment="1">
      <alignment horizontal="center" vertical="center" wrapText="1"/>
    </xf>
    <xf numFmtId="4" fontId="13" fillId="5" borderId="1" xfId="0" applyNumberFormat="1" applyFont="1" applyFill="1" applyBorder="1" applyAlignment="1" applyProtection="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49" fontId="3" fillId="0" borderId="0" xfId="1" applyNumberFormat="1" applyFont="1" applyAlignment="1">
      <alignment horizontal="center" vertical="center" wrapText="1"/>
    </xf>
    <xf numFmtId="0" fontId="7" fillId="0" borderId="0" xfId="1" applyFont="1" applyAlignment="1">
      <alignment vertical="center" wrapText="1"/>
    </xf>
    <xf numFmtId="49" fontId="6" fillId="2" borderId="1" xfId="1" applyNumberFormat="1" applyFont="1" applyFill="1" applyBorder="1" applyAlignment="1">
      <alignment horizontal="center" vertical="center" wrapText="1" shrinkToFit="1"/>
    </xf>
    <xf numFmtId="0" fontId="2" fillId="2" borderId="1" xfId="1" applyFont="1" applyFill="1" applyBorder="1" applyAlignment="1">
      <alignment horizontal="center" vertical="center" wrapText="1" shrinkToFit="1"/>
    </xf>
    <xf numFmtId="4" fontId="2" fillId="2" borderId="1" xfId="1" applyNumberFormat="1" applyFont="1" applyFill="1" applyBorder="1" applyAlignment="1">
      <alignment horizontal="center" vertical="center" wrapText="1" shrinkToFit="1"/>
    </xf>
    <xf numFmtId="4" fontId="2" fillId="2" borderId="2" xfId="1" applyNumberFormat="1" applyFont="1" applyFill="1" applyBorder="1" applyAlignment="1">
      <alignment horizontal="center" vertical="center" wrapText="1" shrinkToFit="1"/>
    </xf>
    <xf numFmtId="4" fontId="2" fillId="2" borderId="4" xfId="1" applyNumberFormat="1" applyFont="1" applyFill="1" applyBorder="1" applyAlignment="1">
      <alignment horizontal="center" vertical="center" wrapText="1" shrinkToFit="1"/>
    </xf>
    <xf numFmtId="4" fontId="2" fillId="2" borderId="3" xfId="1" applyNumberFormat="1" applyFont="1" applyFill="1" applyBorder="1" applyAlignment="1">
      <alignment horizontal="center" vertical="center" wrapText="1" shrinkToFit="1"/>
    </xf>
    <xf numFmtId="0" fontId="10" fillId="3" borderId="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6" fillId="3" borderId="1" xfId="0" applyFont="1" applyFill="1" applyBorder="1" applyAlignment="1">
      <alignment horizontal="left" vertical="center" wrapText="1"/>
    </xf>
    <xf numFmtId="0" fontId="2" fillId="0" borderId="0" xfId="1" applyFont="1" applyBorder="1" applyAlignment="1">
      <alignment horizontal="center" vertical="center" wrapText="1"/>
    </xf>
    <xf numFmtId="0" fontId="1" fillId="0" borderId="0" xfId="1" applyBorder="1" applyAlignment="1">
      <alignment horizontal="center" vertical="center" wrapText="1"/>
    </xf>
    <xf numFmtId="0" fontId="2" fillId="2" borderId="2" xfId="1" applyFont="1" applyFill="1" applyBorder="1" applyAlignment="1">
      <alignment horizontal="center" vertical="center" wrapText="1" shrinkToFit="1"/>
    </xf>
    <xf numFmtId="0" fontId="2" fillId="2" borderId="3" xfId="1" applyFont="1" applyFill="1" applyBorder="1" applyAlignment="1">
      <alignment horizontal="center" vertical="center" wrapText="1" shrinkToFit="1"/>
    </xf>
    <xf numFmtId="14" fontId="3" fillId="3" borderId="2" xfId="0" applyNumberFormat="1" applyFont="1" applyFill="1" applyBorder="1" applyAlignment="1">
      <alignment horizontal="center" vertical="center" wrapText="1"/>
    </xf>
    <xf numFmtId="14" fontId="3" fillId="3" borderId="4" xfId="0" applyNumberFormat="1" applyFont="1" applyFill="1" applyBorder="1" applyAlignment="1">
      <alignment horizontal="center" vertical="center" wrapText="1"/>
    </xf>
    <xf numFmtId="14" fontId="3" fillId="3" borderId="3" xfId="0" applyNumberFormat="1"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3" xfId="0" applyFont="1" applyFill="1" applyBorder="1" applyAlignment="1">
      <alignment horizontal="center" vertical="center" wrapText="1"/>
    </xf>
    <xf numFmtId="14" fontId="10" fillId="3" borderId="2" xfId="0" applyNumberFormat="1" applyFont="1" applyFill="1" applyBorder="1" applyAlignment="1">
      <alignment horizontal="center" vertical="center" wrapText="1"/>
    </xf>
    <xf numFmtId="14" fontId="10" fillId="3" borderId="4"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3" xfId="0"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 xfId="0" applyFont="1" applyFill="1" applyBorder="1" applyAlignment="1">
      <alignment horizontal="left" vertical="center" wrapText="1"/>
    </xf>
    <xf numFmtId="0" fontId="10" fillId="3" borderId="1" xfId="0" applyFont="1" applyFill="1" applyBorder="1" applyAlignment="1">
      <alignment horizontal="left" vertical="center"/>
    </xf>
    <xf numFmtId="4" fontId="10" fillId="3" borderId="1" xfId="0" applyNumberFormat="1" applyFont="1" applyFill="1" applyBorder="1" applyAlignment="1">
      <alignment horizontal="center" vertical="center" wrapText="1"/>
    </xf>
    <xf numFmtId="4" fontId="11" fillId="3" borderId="2" xfId="0" applyNumberFormat="1" applyFont="1" applyFill="1" applyBorder="1" applyAlignment="1">
      <alignment horizontal="center" vertical="center" wrapText="1"/>
    </xf>
    <xf numFmtId="4" fontId="11" fillId="3" borderId="3"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14" fontId="10" fillId="3" borderId="2" xfId="0" applyNumberFormat="1" applyFont="1" applyFill="1" applyBorder="1" applyAlignment="1">
      <alignment horizontal="center" vertical="center"/>
    </xf>
    <xf numFmtId="14" fontId="10" fillId="3" borderId="4" xfId="0" applyNumberFormat="1" applyFont="1" applyFill="1" applyBorder="1" applyAlignment="1">
      <alignment horizontal="center" vertical="center"/>
    </xf>
    <xf numFmtId="14" fontId="10" fillId="3" borderId="3" xfId="0" applyNumberFormat="1" applyFont="1" applyFill="1" applyBorder="1" applyAlignment="1">
      <alignment horizontal="center" vertical="center"/>
    </xf>
    <xf numFmtId="0" fontId="10" fillId="3" borderId="2"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3" xfId="0" applyFont="1" applyFill="1" applyBorder="1" applyAlignment="1">
      <alignment horizontal="left" vertical="top" wrapText="1"/>
    </xf>
    <xf numFmtId="49" fontId="3" fillId="0" borderId="5"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0" fontId="12"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14" fontId="6"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14" fillId="7" borderId="1" xfId="0" applyFont="1" applyFill="1" applyBorder="1" applyAlignment="1" applyProtection="1">
      <alignment horizontal="left" vertical="center" wrapText="1"/>
    </xf>
    <xf numFmtId="49" fontId="12" fillId="3" borderId="2" xfId="0" applyNumberFormat="1" applyFont="1" applyFill="1" applyBorder="1" applyAlignment="1">
      <alignment horizontal="center" vertical="center" wrapText="1"/>
    </xf>
    <xf numFmtId="49" fontId="12" fillId="3" borderId="4" xfId="0" applyNumberFormat="1" applyFont="1" applyFill="1" applyBorder="1" applyAlignment="1">
      <alignment horizontal="center" vertical="center" wrapText="1"/>
    </xf>
    <xf numFmtId="49" fontId="12" fillId="3" borderId="3" xfId="0" applyNumberFormat="1" applyFont="1" applyFill="1" applyBorder="1" applyAlignment="1">
      <alignment horizontal="center" vertical="center" wrapText="1"/>
    </xf>
  </cellXfs>
  <cellStyles count="6">
    <cellStyle name="Обычный" xfId="0" builtinId="0"/>
    <cellStyle name="Обычный 2" xfId="1"/>
    <cellStyle name="Обычный 2 2" xfId="2"/>
    <cellStyle name="Стиль 1" xfId="3"/>
    <cellStyle name="Финансовый 2" xfId="4"/>
    <cellStyle name="Финансовый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44"/>
  <sheetViews>
    <sheetView tabSelected="1" view="pageBreakPreview" zoomScaleNormal="65" zoomScaleSheetLayoutView="100" workbookViewId="0">
      <pane xSplit="2" ySplit="8" topLeftCell="C9" activePane="bottomRight" state="frozen"/>
      <selection pane="topRight" activeCell="E1" sqref="E1"/>
      <selection pane="bottomLeft" activeCell="A10" sqref="A10"/>
      <selection pane="bottomRight" activeCell="E6" sqref="E6:E8"/>
    </sheetView>
  </sheetViews>
  <sheetFormatPr defaultColWidth="8.85546875" defaultRowHeight="12.75" outlineLevelCol="1" x14ac:dyDescent="0.25"/>
  <cols>
    <col min="1" max="1" width="5.85546875" style="14" customWidth="1"/>
    <col min="2" max="2" width="27.28515625" style="7" customWidth="1"/>
    <col min="3" max="3" width="19.28515625" style="1" customWidth="1"/>
    <col min="4" max="4" width="15.5703125" style="8" customWidth="1"/>
    <col min="5" max="6" width="17.140625" style="8" customWidth="1"/>
    <col min="7" max="7" width="12" style="8" customWidth="1"/>
    <col min="8" max="8" width="12.140625" style="8" customWidth="1" outlineLevel="1"/>
    <col min="9" max="9" width="12.85546875" style="8" customWidth="1" outlineLevel="1"/>
    <col min="10" max="10" width="12.7109375" style="8" customWidth="1"/>
    <col min="11" max="11" width="15.140625" style="1" customWidth="1"/>
    <col min="12" max="12" width="65.85546875" style="1" customWidth="1"/>
    <col min="13" max="13" width="12.7109375" style="1" customWidth="1" outlineLevel="1"/>
    <col min="14" max="14" width="12.28515625" style="1" customWidth="1" outlineLevel="1"/>
    <col min="15" max="15" width="13.28515625" style="1" customWidth="1" outlineLevel="1"/>
    <col min="16" max="16" width="15" style="54" customWidth="1" outlineLevel="1"/>
    <col min="17" max="17" width="2.42578125" style="1" customWidth="1"/>
    <col min="18" max="19" width="8.85546875" style="1" customWidth="1"/>
    <col min="20" max="16384" width="8.85546875" style="1"/>
  </cols>
  <sheetData>
    <row r="2" spans="1:17" ht="38.25" x14ac:dyDescent="0.25">
      <c r="L2" s="17" t="s">
        <v>160</v>
      </c>
    </row>
    <row r="3" spans="1:17" x14ac:dyDescent="0.25">
      <c r="A3" s="62" t="s">
        <v>29</v>
      </c>
      <c r="B3" s="63"/>
      <c r="C3" s="63"/>
      <c r="D3" s="63"/>
      <c r="E3" s="63"/>
      <c r="F3" s="63"/>
      <c r="G3" s="63"/>
      <c r="H3" s="63"/>
      <c r="I3" s="63"/>
      <c r="J3" s="63"/>
      <c r="K3" s="63"/>
      <c r="L3" s="63"/>
      <c r="M3" s="9"/>
      <c r="N3" s="9"/>
      <c r="O3" s="9"/>
      <c r="P3" s="55"/>
    </row>
    <row r="4" spans="1:17" x14ac:dyDescent="0.25">
      <c r="A4" s="62"/>
      <c r="B4" s="62"/>
      <c r="C4" s="62"/>
      <c r="D4" s="62"/>
      <c r="E4" s="62"/>
      <c r="F4" s="62"/>
      <c r="G4" s="62"/>
      <c r="H4" s="62"/>
      <c r="I4" s="62"/>
      <c r="J4" s="62"/>
      <c r="K4" s="62"/>
      <c r="L4" s="62"/>
      <c r="M4" s="18"/>
      <c r="N4" s="18"/>
      <c r="O4" s="18"/>
      <c r="P4" s="55"/>
    </row>
    <row r="6" spans="1:17" ht="22.5" customHeight="1" x14ac:dyDescent="0.25">
      <c r="A6" s="64" t="s">
        <v>0</v>
      </c>
      <c r="B6" s="65" t="s">
        <v>9</v>
      </c>
      <c r="C6" s="66" t="s">
        <v>19</v>
      </c>
      <c r="D6" s="66" t="s">
        <v>6</v>
      </c>
      <c r="E6" s="67" t="s">
        <v>18</v>
      </c>
      <c r="F6" s="66" t="s">
        <v>7</v>
      </c>
      <c r="G6" s="66" t="s">
        <v>21</v>
      </c>
      <c r="H6" s="67" t="s">
        <v>11</v>
      </c>
      <c r="I6" s="67" t="s">
        <v>12</v>
      </c>
      <c r="J6" s="67" t="s">
        <v>10</v>
      </c>
      <c r="K6" s="66" t="s">
        <v>20</v>
      </c>
      <c r="L6" s="65" t="s">
        <v>1</v>
      </c>
      <c r="M6" s="65" t="s">
        <v>159</v>
      </c>
      <c r="N6" s="65"/>
      <c r="O6" s="65"/>
      <c r="P6" s="65"/>
      <c r="Q6" s="74"/>
    </row>
    <row r="7" spans="1:17" ht="22.5" customHeight="1" x14ac:dyDescent="0.25">
      <c r="A7" s="64"/>
      <c r="B7" s="65"/>
      <c r="C7" s="66"/>
      <c r="D7" s="66"/>
      <c r="E7" s="68"/>
      <c r="F7" s="66"/>
      <c r="G7" s="66"/>
      <c r="H7" s="68"/>
      <c r="I7" s="68"/>
      <c r="J7" s="68"/>
      <c r="K7" s="66"/>
      <c r="L7" s="65"/>
      <c r="M7" s="65" t="s">
        <v>13</v>
      </c>
      <c r="N7" s="65"/>
      <c r="O7" s="76" t="s">
        <v>16</v>
      </c>
      <c r="P7" s="76" t="s">
        <v>17</v>
      </c>
      <c r="Q7" s="75"/>
    </row>
    <row r="8" spans="1:17" ht="69" customHeight="1" x14ac:dyDescent="0.25">
      <c r="A8" s="64"/>
      <c r="B8" s="65"/>
      <c r="C8" s="66"/>
      <c r="D8" s="66"/>
      <c r="E8" s="69"/>
      <c r="F8" s="66"/>
      <c r="G8" s="66"/>
      <c r="H8" s="69"/>
      <c r="I8" s="69"/>
      <c r="J8" s="69"/>
      <c r="K8" s="66"/>
      <c r="L8" s="65"/>
      <c r="M8" s="16" t="s">
        <v>14</v>
      </c>
      <c r="N8" s="16" t="s">
        <v>15</v>
      </c>
      <c r="O8" s="77"/>
      <c r="P8" s="77"/>
      <c r="Q8" s="75"/>
    </row>
    <row r="9" spans="1:17" s="11" customFormat="1" x14ac:dyDescent="0.25">
      <c r="A9" s="105" t="s">
        <v>2</v>
      </c>
      <c r="B9" s="106"/>
      <c r="C9" s="107"/>
      <c r="D9" s="3"/>
      <c r="E9" s="3"/>
      <c r="F9" s="4"/>
      <c r="G9" s="4"/>
      <c r="H9" s="4"/>
      <c r="I9" s="4"/>
      <c r="J9" s="4"/>
      <c r="K9" s="3"/>
      <c r="L9" s="3"/>
      <c r="M9" s="3"/>
      <c r="N9" s="3"/>
      <c r="O9" s="3"/>
      <c r="P9" s="56"/>
    </row>
    <row r="10" spans="1:17" s="11" customFormat="1" ht="15" customHeight="1" x14ac:dyDescent="0.25">
      <c r="A10" s="41" t="s">
        <v>129</v>
      </c>
      <c r="B10" s="108" t="s">
        <v>90</v>
      </c>
      <c r="C10" s="108"/>
      <c r="D10" s="108"/>
      <c r="E10" s="113" t="s">
        <v>133</v>
      </c>
      <c r="F10" s="109" t="s">
        <v>144</v>
      </c>
      <c r="G10" s="29">
        <f>G11+G27</f>
        <v>145557.56253999998</v>
      </c>
      <c r="H10" s="30">
        <f>H11+H27</f>
        <v>122776.16674000002</v>
      </c>
      <c r="I10" s="110">
        <v>44665</v>
      </c>
      <c r="J10" s="111" t="s">
        <v>136</v>
      </c>
      <c r="K10" s="45" t="s">
        <v>31</v>
      </c>
      <c r="L10" s="73" t="s">
        <v>142</v>
      </c>
      <c r="M10" s="30">
        <f>M11+M27</f>
        <v>2791.7239999999997</v>
      </c>
      <c r="N10" s="30">
        <f>N11+N27</f>
        <v>9207.8056799999995</v>
      </c>
      <c r="O10" s="31">
        <f>O11+O27</f>
        <v>0</v>
      </c>
      <c r="P10" s="30">
        <f>P11+P27</f>
        <v>-11999.52968</v>
      </c>
    </row>
    <row r="11" spans="1:17" s="11" customFormat="1" ht="27" customHeight="1" x14ac:dyDescent="0.25">
      <c r="A11" s="41" t="s">
        <v>130</v>
      </c>
      <c r="B11" s="108" t="s">
        <v>61</v>
      </c>
      <c r="C11" s="108"/>
      <c r="D11" s="108"/>
      <c r="E11" s="114"/>
      <c r="F11" s="109"/>
      <c r="G11" s="29">
        <f>SUM(G12:G26)</f>
        <v>115225.98162999999</v>
      </c>
      <c r="H11" s="30">
        <f>SUM(H12:H26)</f>
        <v>88986.764820000011</v>
      </c>
      <c r="I11" s="110"/>
      <c r="J11" s="111"/>
      <c r="K11" s="44" t="s">
        <v>31</v>
      </c>
      <c r="L11" s="73"/>
      <c r="M11" s="30">
        <f>SUM(M12:M26)</f>
        <v>2424.6819999999998</v>
      </c>
      <c r="N11" s="30">
        <f>SUM(N12:N26)</f>
        <v>6533.6821200000004</v>
      </c>
      <c r="O11" s="31">
        <v>0</v>
      </c>
      <c r="P11" s="30">
        <f>O11-N11-M11</f>
        <v>-8958.3641200000002</v>
      </c>
    </row>
    <row r="12" spans="1:17" s="11" customFormat="1" ht="38.25" x14ac:dyDescent="0.25">
      <c r="A12" s="42" t="s">
        <v>102</v>
      </c>
      <c r="B12" s="32" t="s">
        <v>62</v>
      </c>
      <c r="C12" s="33" t="s">
        <v>91</v>
      </c>
      <c r="D12" s="33" t="s">
        <v>138</v>
      </c>
      <c r="E12" s="114"/>
      <c r="F12" s="109"/>
      <c r="G12" s="46">
        <f>40857978.9/1000</f>
        <v>40857.978900000002</v>
      </c>
      <c r="H12" s="43">
        <f>50216270.51/1000</f>
        <v>50216.270509999995</v>
      </c>
      <c r="I12" s="110"/>
      <c r="J12" s="111"/>
      <c r="K12" s="44" t="s">
        <v>146</v>
      </c>
      <c r="L12" s="73"/>
      <c r="M12" s="34">
        <f>904494/1000</f>
        <v>904.49400000000003</v>
      </c>
      <c r="N12" s="34">
        <f>85120.79*12/1000</f>
        <v>1021.44948</v>
      </c>
      <c r="O12" s="52">
        <v>0</v>
      </c>
      <c r="P12" s="53">
        <f>O12-M12-N12</f>
        <v>-1925.9434799999999</v>
      </c>
    </row>
    <row r="13" spans="1:17" s="11" customFormat="1" ht="38.25" x14ac:dyDescent="0.25">
      <c r="A13" s="42" t="s">
        <v>103</v>
      </c>
      <c r="B13" s="35" t="s">
        <v>63</v>
      </c>
      <c r="C13" s="36" t="s">
        <v>92</v>
      </c>
      <c r="D13" s="36" t="s">
        <v>137</v>
      </c>
      <c r="E13" s="114"/>
      <c r="F13" s="109"/>
      <c r="G13" s="46">
        <f>2635326.56/1000</f>
        <v>2635.32656</v>
      </c>
      <c r="H13" s="43">
        <f>1032285.79/1000</f>
        <v>1032.2857900000001</v>
      </c>
      <c r="I13" s="110"/>
      <c r="J13" s="111"/>
      <c r="K13" s="44" t="s">
        <v>155</v>
      </c>
      <c r="L13" s="73"/>
      <c r="M13" s="34">
        <f>58699/1000</f>
        <v>58.698999999999998</v>
      </c>
      <c r="N13" s="34">
        <f>10934.97*12/1000</f>
        <v>131.21964</v>
      </c>
      <c r="O13" s="52">
        <v>0</v>
      </c>
      <c r="P13" s="53">
        <f t="shared" ref="P13:P26" si="0">O13-M13-N13</f>
        <v>-189.91863999999998</v>
      </c>
    </row>
    <row r="14" spans="1:17" s="11" customFormat="1" ht="38.25" x14ac:dyDescent="0.25">
      <c r="A14" s="42" t="s">
        <v>104</v>
      </c>
      <c r="B14" s="35" t="s">
        <v>64</v>
      </c>
      <c r="C14" s="36" t="s">
        <v>93</v>
      </c>
      <c r="D14" s="36" t="s">
        <v>65</v>
      </c>
      <c r="E14" s="114"/>
      <c r="F14" s="109"/>
      <c r="G14" s="46">
        <f>2635326.56/1000</f>
        <v>2635.32656</v>
      </c>
      <c r="H14" s="43">
        <f>438924.67/1000</f>
        <v>438.92466999999999</v>
      </c>
      <c r="I14" s="110"/>
      <c r="J14" s="111"/>
      <c r="K14" s="44" t="s">
        <v>156</v>
      </c>
      <c r="L14" s="73"/>
      <c r="M14" s="34">
        <f>58699/1000</f>
        <v>58.698999999999998</v>
      </c>
      <c r="N14" s="34">
        <f>10934.97*12/1000</f>
        <v>131.21964</v>
      </c>
      <c r="O14" s="52">
        <v>0</v>
      </c>
      <c r="P14" s="53">
        <f t="shared" si="0"/>
        <v>-189.91863999999998</v>
      </c>
    </row>
    <row r="15" spans="1:17" s="11" customFormat="1" ht="38.25" x14ac:dyDescent="0.25">
      <c r="A15" s="42" t="s">
        <v>105</v>
      </c>
      <c r="B15" s="35" t="s">
        <v>66</v>
      </c>
      <c r="C15" s="36" t="s">
        <v>94</v>
      </c>
      <c r="D15" s="36" t="s">
        <v>139</v>
      </c>
      <c r="E15" s="114"/>
      <c r="F15" s="109"/>
      <c r="G15" s="46">
        <f>18287814.51/1000</f>
        <v>18287.81451</v>
      </c>
      <c r="H15" s="43">
        <f>21916079.17/1000</f>
        <v>21916.079170000001</v>
      </c>
      <c r="I15" s="110"/>
      <c r="J15" s="111"/>
      <c r="K15" s="44" t="s">
        <v>157</v>
      </c>
      <c r="L15" s="73"/>
      <c r="M15" s="34">
        <f>406355/1000</f>
        <v>406.35500000000002</v>
      </c>
      <c r="N15" s="59">
        <f>60959.38*12/1000</f>
        <v>731.51255999999989</v>
      </c>
      <c r="O15" s="52">
        <v>0</v>
      </c>
      <c r="P15" s="53">
        <f t="shared" si="0"/>
        <v>-1137.8675599999999</v>
      </c>
    </row>
    <row r="16" spans="1:17" s="11" customFormat="1" ht="38.25" x14ac:dyDescent="0.25">
      <c r="A16" s="42" t="s">
        <v>106</v>
      </c>
      <c r="B16" s="35" t="s">
        <v>67</v>
      </c>
      <c r="C16" s="36" t="s">
        <v>95</v>
      </c>
      <c r="D16" s="36" t="s">
        <v>140</v>
      </c>
      <c r="E16" s="114"/>
      <c r="F16" s="109"/>
      <c r="G16" s="46">
        <f>5984770.5/1000</f>
        <v>5984.7704999999996</v>
      </c>
      <c r="H16" s="43">
        <f>3792676.15/1000</f>
        <v>3792.6761499999998</v>
      </c>
      <c r="I16" s="110"/>
      <c r="J16" s="111"/>
      <c r="K16" s="44" t="s">
        <v>147</v>
      </c>
      <c r="L16" s="73"/>
      <c r="M16" s="34">
        <f>132982/1000</f>
        <v>132.982</v>
      </c>
      <c r="N16" s="34">
        <f>19949.24*12/1000</f>
        <v>239.39088000000001</v>
      </c>
      <c r="O16" s="52">
        <v>0</v>
      </c>
      <c r="P16" s="53">
        <f t="shared" si="0"/>
        <v>-372.37288000000001</v>
      </c>
    </row>
    <row r="17" spans="1:16" s="11" customFormat="1" ht="38.25" x14ac:dyDescent="0.25">
      <c r="A17" s="42" t="s">
        <v>107</v>
      </c>
      <c r="B17" s="35" t="s">
        <v>68</v>
      </c>
      <c r="C17" s="36" t="s">
        <v>96</v>
      </c>
      <c r="D17" s="36" t="s">
        <v>69</v>
      </c>
      <c r="E17" s="114"/>
      <c r="F17" s="109"/>
      <c r="G17" s="46">
        <f>1006605.3/1000</f>
        <v>1006.6053000000001</v>
      </c>
      <c r="H17" s="43">
        <f>1026578.38/1000</f>
        <v>1026.5783799999999</v>
      </c>
      <c r="I17" s="110"/>
      <c r="J17" s="111"/>
      <c r="K17" s="44" t="s">
        <v>158</v>
      </c>
      <c r="L17" s="73"/>
      <c r="M17" s="34">
        <f>23253/1000</f>
        <v>23.253</v>
      </c>
      <c r="N17" s="34">
        <f>16776.76*12/1000</f>
        <v>201.32112000000001</v>
      </c>
      <c r="O17" s="52">
        <v>0</v>
      </c>
      <c r="P17" s="53">
        <f t="shared" si="0"/>
        <v>-224.57411999999999</v>
      </c>
    </row>
    <row r="18" spans="1:16" s="11" customFormat="1" ht="38.25" x14ac:dyDescent="0.25">
      <c r="A18" s="42" t="s">
        <v>108</v>
      </c>
      <c r="B18" s="35" t="s">
        <v>70</v>
      </c>
      <c r="C18" s="36" t="s">
        <v>97</v>
      </c>
      <c r="D18" s="36" t="s">
        <v>71</v>
      </c>
      <c r="E18" s="114"/>
      <c r="F18" s="109"/>
      <c r="G18" s="46">
        <f>4659834.92/1000</f>
        <v>4659.8349200000002</v>
      </c>
      <c r="H18" s="43">
        <f>1693423.99/1000</f>
        <v>1693.42399</v>
      </c>
      <c r="I18" s="110"/>
      <c r="J18" s="111"/>
      <c r="K18" s="44" t="s">
        <v>148</v>
      </c>
      <c r="L18" s="73"/>
      <c r="M18" s="34">
        <f>103793/1000</f>
        <v>103.79300000000001</v>
      </c>
      <c r="N18" s="34">
        <f>19335.41*12/1000</f>
        <v>232.02491999999998</v>
      </c>
      <c r="O18" s="52">
        <v>0</v>
      </c>
      <c r="P18" s="53">
        <f t="shared" si="0"/>
        <v>-335.81791999999996</v>
      </c>
    </row>
    <row r="19" spans="1:16" s="11" customFormat="1" ht="38.25" x14ac:dyDescent="0.25">
      <c r="A19" s="42" t="s">
        <v>109</v>
      </c>
      <c r="B19" s="35" t="s">
        <v>72</v>
      </c>
      <c r="C19" s="36" t="s">
        <v>98</v>
      </c>
      <c r="D19" s="36" t="s">
        <v>141</v>
      </c>
      <c r="E19" s="114"/>
      <c r="F19" s="109"/>
      <c r="G19" s="46">
        <f>15360277.61/1000</f>
        <v>15360.277609999999</v>
      </c>
      <c r="H19" s="43">
        <f>3109425.35/1000</f>
        <v>3109.42535</v>
      </c>
      <c r="I19" s="110"/>
      <c r="J19" s="111"/>
      <c r="K19" s="44" t="s">
        <v>149</v>
      </c>
      <c r="L19" s="73"/>
      <c r="M19" s="34">
        <f>340467/1000</f>
        <v>340.46699999999998</v>
      </c>
      <c r="N19" s="34">
        <f>57745.4*12/1000</f>
        <v>692.9448000000001</v>
      </c>
      <c r="O19" s="52">
        <v>0</v>
      </c>
      <c r="P19" s="53">
        <f t="shared" si="0"/>
        <v>-1033.4118000000001</v>
      </c>
    </row>
    <row r="20" spans="1:16" s="11" customFormat="1" ht="38.25" x14ac:dyDescent="0.25">
      <c r="A20" s="42" t="s">
        <v>110</v>
      </c>
      <c r="B20" s="35" t="s">
        <v>73</v>
      </c>
      <c r="C20" s="36" t="s">
        <v>99</v>
      </c>
      <c r="D20" s="36" t="s">
        <v>141</v>
      </c>
      <c r="E20" s="114"/>
      <c r="F20" s="109"/>
      <c r="G20" s="46">
        <f>15302532.21/1000</f>
        <v>15302.532210000001</v>
      </c>
      <c r="H20" s="43">
        <f>3109425.35/1000</f>
        <v>3109.42535</v>
      </c>
      <c r="I20" s="110"/>
      <c r="J20" s="111"/>
      <c r="K20" s="44" t="s">
        <v>150</v>
      </c>
      <c r="L20" s="73"/>
      <c r="M20" s="34">
        <f>340467/1000</f>
        <v>340.46699999999998</v>
      </c>
      <c r="N20" s="34">
        <f>57745.4*12/1000</f>
        <v>692.9448000000001</v>
      </c>
      <c r="O20" s="52">
        <v>0</v>
      </c>
      <c r="P20" s="53">
        <f t="shared" si="0"/>
        <v>-1033.4118000000001</v>
      </c>
    </row>
    <row r="21" spans="1:16" s="11" customFormat="1" ht="38.25" x14ac:dyDescent="0.25">
      <c r="A21" s="42" t="s">
        <v>111</v>
      </c>
      <c r="B21" s="35" t="s">
        <v>74</v>
      </c>
      <c r="C21" s="36" t="s">
        <v>100</v>
      </c>
      <c r="D21" s="36" t="s">
        <v>75</v>
      </c>
      <c r="E21" s="114"/>
      <c r="F21" s="109"/>
      <c r="G21" s="46">
        <f>1307491.27/1000</f>
        <v>1307.49127</v>
      </c>
      <c r="H21" s="43">
        <f>297744.45/1000</f>
        <v>297.74445000000003</v>
      </c>
      <c r="I21" s="110"/>
      <c r="J21" s="111"/>
      <c r="K21" s="44" t="s">
        <v>151</v>
      </c>
      <c r="L21" s="73"/>
      <c r="M21" s="34">
        <f>29123/1000</f>
        <v>29.123000000000001</v>
      </c>
      <c r="N21" s="34">
        <f>5425.28*12/1000</f>
        <v>65.103359999999995</v>
      </c>
      <c r="O21" s="52">
        <v>0</v>
      </c>
      <c r="P21" s="53">
        <f t="shared" si="0"/>
        <v>-94.22636</v>
      </c>
    </row>
    <row r="22" spans="1:16" s="11" customFormat="1" ht="38.25" x14ac:dyDescent="0.25">
      <c r="A22" s="42" t="s">
        <v>112</v>
      </c>
      <c r="B22" s="35" t="s">
        <v>76</v>
      </c>
      <c r="C22" s="36" t="s">
        <v>101</v>
      </c>
      <c r="D22" s="36" t="s">
        <v>77</v>
      </c>
      <c r="E22" s="114"/>
      <c r="F22" s="109"/>
      <c r="G22" s="46">
        <f>1182980.47/1000</f>
        <v>1182.98047</v>
      </c>
      <c r="H22" s="43">
        <f>1330470.73/1000</f>
        <v>1330.47073</v>
      </c>
      <c r="I22" s="110"/>
      <c r="J22" s="111"/>
      <c r="K22" s="44" t="s">
        <v>152</v>
      </c>
      <c r="L22" s="73"/>
      <c r="M22" s="34">
        <f>26350/1000</f>
        <v>26.35</v>
      </c>
      <c r="N22" s="34">
        <f>4908.63*12/1000</f>
        <v>58.903559999999999</v>
      </c>
      <c r="O22" s="52">
        <v>0</v>
      </c>
      <c r="P22" s="53">
        <f t="shared" si="0"/>
        <v>-85.253559999999993</v>
      </c>
    </row>
    <row r="23" spans="1:16" s="11" customFormat="1" ht="38.25" x14ac:dyDescent="0.25">
      <c r="A23" s="42" t="s">
        <v>113</v>
      </c>
      <c r="B23" s="35" t="s">
        <v>78</v>
      </c>
      <c r="C23" s="36">
        <v>2100</v>
      </c>
      <c r="D23" s="36" t="s">
        <v>79</v>
      </c>
      <c r="E23" s="114"/>
      <c r="F23" s="109"/>
      <c r="G23" s="46">
        <v>0</v>
      </c>
      <c r="H23" s="43">
        <f>213281.97/1000</f>
        <v>213.28197</v>
      </c>
      <c r="I23" s="110"/>
      <c r="J23" s="111"/>
      <c r="K23" s="44" t="s">
        <v>32</v>
      </c>
      <c r="L23" s="73"/>
      <c r="M23" s="53">
        <v>0</v>
      </c>
      <c r="N23" s="34">
        <f>77971.13*9/1000</f>
        <v>701.74017000000003</v>
      </c>
      <c r="O23" s="52">
        <v>0</v>
      </c>
      <c r="P23" s="53">
        <f t="shared" si="0"/>
        <v>-701.74017000000003</v>
      </c>
    </row>
    <row r="24" spans="1:16" s="11" customFormat="1" ht="51" x14ac:dyDescent="0.25">
      <c r="A24" s="42" t="s">
        <v>114</v>
      </c>
      <c r="B24" s="35" t="s">
        <v>80</v>
      </c>
      <c r="C24" s="36">
        <v>2101</v>
      </c>
      <c r="D24" s="36" t="s">
        <v>79</v>
      </c>
      <c r="E24" s="114"/>
      <c r="F24" s="109"/>
      <c r="G24" s="46">
        <v>0</v>
      </c>
      <c r="H24" s="43">
        <f>216827.21/1000</f>
        <v>216.82720999999998</v>
      </c>
      <c r="I24" s="110"/>
      <c r="J24" s="111"/>
      <c r="K24" s="44" t="s">
        <v>32</v>
      </c>
      <c r="L24" s="73"/>
      <c r="M24" s="53">
        <v>0</v>
      </c>
      <c r="N24" s="34">
        <f>62807.07*9/1000</f>
        <v>565.26363000000003</v>
      </c>
      <c r="O24" s="52">
        <v>0</v>
      </c>
      <c r="P24" s="53">
        <f t="shared" si="0"/>
        <v>-565.26363000000003</v>
      </c>
    </row>
    <row r="25" spans="1:16" s="11" customFormat="1" ht="38.25" x14ac:dyDescent="0.25">
      <c r="A25" s="42" t="s">
        <v>115</v>
      </c>
      <c r="B25" s="35" t="s">
        <v>81</v>
      </c>
      <c r="C25" s="36">
        <v>2102</v>
      </c>
      <c r="D25" s="36" t="s">
        <v>79</v>
      </c>
      <c r="E25" s="114"/>
      <c r="F25" s="109"/>
      <c r="G25" s="46">
        <v>0</v>
      </c>
      <c r="H25" s="43">
        <f>306526.76/1000</f>
        <v>306.52676000000002</v>
      </c>
      <c r="I25" s="110"/>
      <c r="J25" s="111"/>
      <c r="K25" s="44" t="s">
        <v>32</v>
      </c>
      <c r="L25" s="73"/>
      <c r="M25" s="53">
        <v>0</v>
      </c>
      <c r="N25" s="34">
        <f>52015.48*9/1000</f>
        <v>468.13932</v>
      </c>
      <c r="O25" s="52">
        <v>0</v>
      </c>
      <c r="P25" s="53">
        <f t="shared" si="0"/>
        <v>-468.13932</v>
      </c>
    </row>
    <row r="26" spans="1:16" s="11" customFormat="1" ht="38.25" x14ac:dyDescent="0.25">
      <c r="A26" s="42" t="s">
        <v>116</v>
      </c>
      <c r="B26" s="35" t="s">
        <v>82</v>
      </c>
      <c r="C26" s="36">
        <v>2103</v>
      </c>
      <c r="D26" s="36" t="s">
        <v>79</v>
      </c>
      <c r="E26" s="114"/>
      <c r="F26" s="109"/>
      <c r="G26" s="46">
        <f>6005042.82/1000</f>
        <v>6005.0428200000006</v>
      </c>
      <c r="H26" s="43">
        <f>286824.34/1000</f>
        <v>286.82434000000001</v>
      </c>
      <c r="I26" s="110"/>
      <c r="J26" s="111"/>
      <c r="K26" s="44" t="s">
        <v>32</v>
      </c>
      <c r="L26" s="73"/>
      <c r="M26" s="53">
        <v>0</v>
      </c>
      <c r="N26" s="34">
        <f>50042.02*12/1000</f>
        <v>600.50423999999998</v>
      </c>
      <c r="O26" s="52">
        <v>0</v>
      </c>
      <c r="P26" s="53">
        <f t="shared" si="0"/>
        <v>-600.50423999999998</v>
      </c>
    </row>
    <row r="27" spans="1:16" s="11" customFormat="1" ht="30.75" customHeight="1" x14ac:dyDescent="0.25">
      <c r="A27" s="41" t="s">
        <v>131</v>
      </c>
      <c r="B27" s="112" t="s">
        <v>83</v>
      </c>
      <c r="C27" s="112"/>
      <c r="D27" s="112"/>
      <c r="E27" s="114"/>
      <c r="F27" s="109"/>
      <c r="G27" s="47">
        <f>SUM(G28:G31)</f>
        <v>30331.580909999997</v>
      </c>
      <c r="H27" s="37">
        <f>SUM(H28:H31)</f>
        <v>33789.401919999997</v>
      </c>
      <c r="I27" s="110"/>
      <c r="J27" s="111"/>
      <c r="K27" s="45" t="s">
        <v>31</v>
      </c>
      <c r="L27" s="73"/>
      <c r="M27" s="38">
        <f>SUM(M28:M31)</f>
        <v>367.04200000000003</v>
      </c>
      <c r="N27" s="39">
        <f>SUM(N28:N31)</f>
        <v>2674.1235599999995</v>
      </c>
      <c r="O27" s="30">
        <v>0</v>
      </c>
      <c r="P27" s="30">
        <f>O27-N27-M27</f>
        <v>-3041.1655599999995</v>
      </c>
    </row>
    <row r="28" spans="1:16" s="11" customFormat="1" ht="38.25" x14ac:dyDescent="0.25">
      <c r="A28" s="42" t="s">
        <v>117</v>
      </c>
      <c r="B28" s="35" t="s">
        <v>84</v>
      </c>
      <c r="C28" s="36" t="s">
        <v>134</v>
      </c>
      <c r="D28" s="36" t="s">
        <v>85</v>
      </c>
      <c r="E28" s="114"/>
      <c r="F28" s="109"/>
      <c r="G28" s="46">
        <f>16068530.91/1000</f>
        <v>16068.530909999999</v>
      </c>
      <c r="H28" s="43">
        <f>32947936.34/1000</f>
        <v>32947.93634</v>
      </c>
      <c r="I28" s="110"/>
      <c r="J28" s="111"/>
      <c r="K28" s="44" t="s">
        <v>153</v>
      </c>
      <c r="L28" s="73"/>
      <c r="M28" s="40">
        <f>358891/1000</f>
        <v>358.89100000000002</v>
      </c>
      <c r="N28" s="34">
        <f>81566.15*12/1000</f>
        <v>978.79379999999992</v>
      </c>
      <c r="O28" s="53">
        <v>0</v>
      </c>
      <c r="P28" s="53">
        <f>O28-M28-N28</f>
        <v>-1337.6848</v>
      </c>
    </row>
    <row r="29" spans="1:16" s="11" customFormat="1" ht="25.5" x14ac:dyDescent="0.25">
      <c r="A29" s="42" t="s">
        <v>118</v>
      </c>
      <c r="B29" s="35" t="s">
        <v>86</v>
      </c>
      <c r="C29" s="36">
        <v>2113</v>
      </c>
      <c r="D29" s="36" t="s">
        <v>79</v>
      </c>
      <c r="E29" s="114"/>
      <c r="F29" s="109"/>
      <c r="G29" s="46">
        <f>5226664.15/1000</f>
        <v>5226.6641500000005</v>
      </c>
      <c r="H29" s="43">
        <f>154343.11/1000</f>
        <v>154.34311</v>
      </c>
      <c r="I29" s="110"/>
      <c r="J29" s="111"/>
      <c r="K29" s="44" t="s">
        <v>32</v>
      </c>
      <c r="L29" s="73"/>
      <c r="M29" s="58">
        <v>0</v>
      </c>
      <c r="N29" s="34">
        <f>67878.76*12/1000</f>
        <v>814.54511999999988</v>
      </c>
      <c r="O29" s="53">
        <v>0</v>
      </c>
      <c r="P29" s="53">
        <f t="shared" ref="P29:P31" si="1">O29-M29-N29</f>
        <v>-814.54511999999988</v>
      </c>
    </row>
    <row r="30" spans="1:16" s="11" customFormat="1" ht="38.25" x14ac:dyDescent="0.25">
      <c r="A30" s="42" t="s">
        <v>119</v>
      </c>
      <c r="B30" s="35" t="s">
        <v>87</v>
      </c>
      <c r="C30" s="36">
        <v>2114</v>
      </c>
      <c r="D30" s="36" t="s">
        <v>79</v>
      </c>
      <c r="E30" s="114"/>
      <c r="F30" s="109"/>
      <c r="G30" s="46">
        <f>8669335.86/1000</f>
        <v>8669.3358599999992</v>
      </c>
      <c r="H30" s="43">
        <f>627581.21/1000</f>
        <v>627.58120999999994</v>
      </c>
      <c r="I30" s="110"/>
      <c r="J30" s="111"/>
      <c r="K30" s="44" t="s">
        <v>32</v>
      </c>
      <c r="L30" s="73"/>
      <c r="M30" s="58">
        <v>0</v>
      </c>
      <c r="N30" s="34">
        <f>72244.47*12/1000</f>
        <v>866.93363999999997</v>
      </c>
      <c r="O30" s="53">
        <v>0</v>
      </c>
      <c r="P30" s="53">
        <f t="shared" si="1"/>
        <v>-866.93363999999997</v>
      </c>
    </row>
    <row r="31" spans="1:16" s="11" customFormat="1" ht="38.25" x14ac:dyDescent="0.25">
      <c r="A31" s="42" t="s">
        <v>120</v>
      </c>
      <c r="B31" s="35" t="s">
        <v>88</v>
      </c>
      <c r="C31" s="36" t="s">
        <v>135</v>
      </c>
      <c r="D31" s="36" t="s">
        <v>89</v>
      </c>
      <c r="E31" s="115"/>
      <c r="F31" s="109"/>
      <c r="G31" s="46">
        <f>367049.99/1000</f>
        <v>367.04998999999998</v>
      </c>
      <c r="H31" s="43">
        <f>59541.26/1000</f>
        <v>59.541260000000001</v>
      </c>
      <c r="I31" s="110"/>
      <c r="J31" s="111"/>
      <c r="K31" s="44" t="s">
        <v>154</v>
      </c>
      <c r="L31" s="73"/>
      <c r="M31" s="40">
        <f>8151/1000</f>
        <v>8.1509999999999998</v>
      </c>
      <c r="N31" s="34">
        <f>1154.25*12/1000</f>
        <v>13.851000000000001</v>
      </c>
      <c r="O31" s="53">
        <v>0</v>
      </c>
      <c r="P31" s="53">
        <f t="shared" si="1"/>
        <v>-22.002000000000002</v>
      </c>
    </row>
    <row r="32" spans="1:16" s="11" customFormat="1" ht="15" customHeight="1" x14ac:dyDescent="0.25">
      <c r="A32" s="41" t="s">
        <v>132</v>
      </c>
      <c r="B32" s="2" t="s">
        <v>60</v>
      </c>
      <c r="C32" s="3" t="s">
        <v>31</v>
      </c>
      <c r="D32" s="3" t="s">
        <v>31</v>
      </c>
      <c r="E32" s="96" t="s">
        <v>24</v>
      </c>
      <c r="F32" s="96" t="s">
        <v>55</v>
      </c>
      <c r="G32" s="4">
        <f>G33+G34</f>
        <v>58423.402200000004</v>
      </c>
      <c r="H32" s="4">
        <f>H33+H34</f>
        <v>42150.446000000004</v>
      </c>
      <c r="I32" s="99">
        <v>44722</v>
      </c>
      <c r="J32" s="81" t="s">
        <v>56</v>
      </c>
      <c r="K32" s="87" t="s">
        <v>32</v>
      </c>
      <c r="L32" s="102" t="s">
        <v>57</v>
      </c>
      <c r="M32" s="4">
        <f>M33+M34</f>
        <v>0</v>
      </c>
      <c r="N32" s="4">
        <f>N33+N34</f>
        <v>3981.3132000000001</v>
      </c>
      <c r="O32" s="4">
        <f>O33+O34</f>
        <v>3999.2730000000001</v>
      </c>
      <c r="P32" s="57">
        <f>O32-N32-M32</f>
        <v>17.959800000000087</v>
      </c>
    </row>
    <row r="33" spans="1:18" s="11" customFormat="1" ht="25.5" customHeight="1" x14ac:dyDescent="0.25">
      <c r="A33" s="42" t="s">
        <v>121</v>
      </c>
      <c r="B33" s="19" t="s">
        <v>52</v>
      </c>
      <c r="C33" s="21" t="s">
        <v>53</v>
      </c>
      <c r="D33" s="21" t="s">
        <v>54</v>
      </c>
      <c r="E33" s="97"/>
      <c r="F33" s="97"/>
      <c r="G33" s="48">
        <f>29713754.51/1000</f>
        <v>29713.754510000002</v>
      </c>
      <c r="H33" s="22">
        <v>21075.223000000002</v>
      </c>
      <c r="I33" s="100"/>
      <c r="J33" s="82"/>
      <c r="K33" s="88"/>
      <c r="L33" s="103"/>
      <c r="M33" s="28">
        <v>0</v>
      </c>
      <c r="N33" s="28">
        <f>1800833.64/1000</f>
        <v>1800.8336399999998</v>
      </c>
      <c r="O33" s="94">
        <f>3999273/1000</f>
        <v>3999.2730000000001</v>
      </c>
      <c r="P33" s="94">
        <f>O33-N34-N33</f>
        <v>17.959800000000087</v>
      </c>
    </row>
    <row r="34" spans="1:18" s="11" customFormat="1" ht="38.25" customHeight="1" x14ac:dyDescent="0.25">
      <c r="A34" s="42" t="s">
        <v>122</v>
      </c>
      <c r="B34" s="19" t="s">
        <v>58</v>
      </c>
      <c r="C34" s="21" t="s">
        <v>59</v>
      </c>
      <c r="D34" s="21" t="s">
        <v>54</v>
      </c>
      <c r="E34" s="98"/>
      <c r="F34" s="98"/>
      <c r="G34" s="48">
        <f>28709647.69/1000</f>
        <v>28709.647690000002</v>
      </c>
      <c r="H34" s="22">
        <v>21075.223000000002</v>
      </c>
      <c r="I34" s="101"/>
      <c r="J34" s="83"/>
      <c r="K34" s="89"/>
      <c r="L34" s="104"/>
      <c r="M34" s="28">
        <v>0</v>
      </c>
      <c r="N34" s="28">
        <f>2180479.56/1000</f>
        <v>2180.4795600000002</v>
      </c>
      <c r="O34" s="95"/>
      <c r="P34" s="95"/>
    </row>
    <row r="35" spans="1:18" s="11" customFormat="1" ht="114.75" x14ac:dyDescent="0.25">
      <c r="A35" s="42" t="s">
        <v>123</v>
      </c>
      <c r="B35" s="19" t="s">
        <v>46</v>
      </c>
      <c r="C35" s="21" t="s">
        <v>47</v>
      </c>
      <c r="D35" s="21" t="s">
        <v>48</v>
      </c>
      <c r="E35" s="25" t="s">
        <v>49</v>
      </c>
      <c r="F35" s="21" t="s">
        <v>143</v>
      </c>
      <c r="G35" s="49">
        <f>36364261.72/1000</f>
        <v>36364.261720000002</v>
      </c>
      <c r="H35" s="22">
        <v>85000</v>
      </c>
      <c r="I35" s="26">
        <v>45601</v>
      </c>
      <c r="J35" s="21" t="s">
        <v>50</v>
      </c>
      <c r="K35" s="21" t="s">
        <v>32</v>
      </c>
      <c r="L35" s="27" t="s">
        <v>51</v>
      </c>
      <c r="M35" s="28">
        <v>23.63</v>
      </c>
      <c r="N35" s="28">
        <f>9697136.5/1000</f>
        <v>9697.1365000000005</v>
      </c>
      <c r="O35" s="28">
        <v>0</v>
      </c>
      <c r="P35" s="28">
        <f>O35-N35-M35</f>
        <v>-9720.7664999999997</v>
      </c>
    </row>
    <row r="36" spans="1:18" s="6" customFormat="1" x14ac:dyDescent="0.25">
      <c r="A36" s="5" t="s">
        <v>3</v>
      </c>
      <c r="B36" s="5"/>
      <c r="C36" s="5"/>
      <c r="D36" s="5"/>
      <c r="E36" s="5"/>
      <c r="F36" s="4"/>
      <c r="G36" s="4">
        <f>G10+G32+G35</f>
        <v>240345.22646000001</v>
      </c>
      <c r="H36" s="4">
        <f>H10+H32+H35</f>
        <v>249926.61274000001</v>
      </c>
      <c r="I36" s="4"/>
      <c r="J36" s="4"/>
      <c r="K36" s="4"/>
      <c r="L36" s="4"/>
      <c r="M36" s="4">
        <f t="shared" ref="M36:P36" si="2">M10+M32+M35</f>
        <v>2815.3539999999998</v>
      </c>
      <c r="N36" s="4">
        <f t="shared" si="2"/>
        <v>22886.255380000002</v>
      </c>
      <c r="O36" s="4">
        <f t="shared" si="2"/>
        <v>3999.2730000000001</v>
      </c>
      <c r="P36" s="57">
        <f t="shared" si="2"/>
        <v>-21702.336380000001</v>
      </c>
    </row>
    <row r="37" spans="1:18" s="11" customFormat="1" x14ac:dyDescent="0.25">
      <c r="A37" s="10" t="s">
        <v>4</v>
      </c>
      <c r="B37" s="3"/>
      <c r="C37" s="3"/>
      <c r="D37" s="3"/>
      <c r="E37" s="3"/>
      <c r="F37" s="4"/>
      <c r="G37" s="4"/>
      <c r="H37" s="4"/>
      <c r="I37" s="4"/>
      <c r="J37" s="4"/>
      <c r="K37" s="3"/>
      <c r="L37" s="3"/>
      <c r="M37" s="3"/>
      <c r="N37" s="3"/>
      <c r="O37" s="3"/>
      <c r="P37" s="56"/>
      <c r="Q37" s="15"/>
      <c r="R37" s="15"/>
    </row>
    <row r="38" spans="1:18" s="11" customFormat="1" ht="38.25" x14ac:dyDescent="0.25">
      <c r="A38" s="42" t="s">
        <v>124</v>
      </c>
      <c r="B38" s="19" t="s">
        <v>34</v>
      </c>
      <c r="C38" s="21" t="s">
        <v>35</v>
      </c>
      <c r="D38" s="21" t="s">
        <v>36</v>
      </c>
      <c r="E38" s="90" t="s">
        <v>37</v>
      </c>
      <c r="F38" s="21" t="s">
        <v>38</v>
      </c>
      <c r="G38" s="50">
        <f>22852477.37/1000</f>
        <v>22852.477370000001</v>
      </c>
      <c r="H38" s="22">
        <v>0</v>
      </c>
      <c r="I38" s="23" t="s">
        <v>39</v>
      </c>
      <c r="J38" s="21" t="s">
        <v>40</v>
      </c>
      <c r="K38" s="21" t="s">
        <v>43</v>
      </c>
      <c r="L38" s="91" t="s">
        <v>45</v>
      </c>
      <c r="M38" s="22">
        <f>(509579+571471.76)/1000</f>
        <v>1081.0507600000001</v>
      </c>
      <c r="N38" s="22">
        <v>1240.8584800000001</v>
      </c>
      <c r="O38" s="93">
        <f>8416500.06/1000</f>
        <v>8416.5000600000003</v>
      </c>
      <c r="P38" s="93">
        <f>O38-N38-M38-N39-M39</f>
        <v>1306.9451490457263</v>
      </c>
      <c r="Q38" s="15"/>
      <c r="R38" s="15"/>
    </row>
    <row r="39" spans="1:18" s="11" customFormat="1" ht="38.25" x14ac:dyDescent="0.25">
      <c r="A39" s="42" t="s">
        <v>125</v>
      </c>
      <c r="B39" s="19" t="s">
        <v>34</v>
      </c>
      <c r="C39" s="21" t="s">
        <v>41</v>
      </c>
      <c r="D39" s="21" t="s">
        <v>42</v>
      </c>
      <c r="E39" s="90"/>
      <c r="F39" s="21" t="s">
        <v>38</v>
      </c>
      <c r="G39" s="50">
        <f>68664420.03/1000/804.8*538.3</f>
        <v>45927.009570264672</v>
      </c>
      <c r="H39" s="22">
        <v>0</v>
      </c>
      <c r="I39" s="23" t="s">
        <v>39</v>
      </c>
      <c r="J39" s="21" t="s">
        <v>40</v>
      </c>
      <c r="K39" s="21" t="s">
        <v>44</v>
      </c>
      <c r="L39" s="92"/>
      <c r="M39" s="22">
        <f>(1531794/804.8*538.3+1187740.77)/1000</f>
        <v>2212.2993065308151</v>
      </c>
      <c r="N39" s="22">
        <f>3850.34136/804.8*538.3</f>
        <v>2575.3463644234589</v>
      </c>
      <c r="O39" s="93"/>
      <c r="P39" s="93"/>
      <c r="Q39" s="15"/>
      <c r="R39" s="15"/>
    </row>
    <row r="40" spans="1:18" s="11" customFormat="1" ht="58.5" customHeight="1" x14ac:dyDescent="0.25">
      <c r="A40" s="41" t="s">
        <v>126</v>
      </c>
      <c r="B40" s="2" t="s">
        <v>30</v>
      </c>
      <c r="C40" s="3" t="s">
        <v>31</v>
      </c>
      <c r="D40" s="3" t="s">
        <v>31</v>
      </c>
      <c r="E40" s="78" t="s">
        <v>24</v>
      </c>
      <c r="F40" s="81" t="s">
        <v>25</v>
      </c>
      <c r="G40" s="4">
        <f>G41+G42</f>
        <v>165757.67012</v>
      </c>
      <c r="H40" s="4">
        <f>H41+H42</f>
        <v>206500</v>
      </c>
      <c r="I40" s="84">
        <v>44467</v>
      </c>
      <c r="J40" s="81" t="s">
        <v>26</v>
      </c>
      <c r="K40" s="87" t="s">
        <v>32</v>
      </c>
      <c r="L40" s="70" t="s">
        <v>33</v>
      </c>
      <c r="M40" s="4">
        <f>M41+M42</f>
        <v>0</v>
      </c>
      <c r="N40" s="4">
        <f t="shared" ref="N40:O40" si="3">N41+N42</f>
        <v>18248.55085</v>
      </c>
      <c r="O40" s="4">
        <f t="shared" si="3"/>
        <v>0</v>
      </c>
      <c r="P40" s="57">
        <f>O40-N40-M40</f>
        <v>-18248.55085</v>
      </c>
      <c r="Q40" s="15"/>
      <c r="R40" s="15"/>
    </row>
    <row r="41" spans="1:18" s="11" customFormat="1" ht="85.5" customHeight="1" x14ac:dyDescent="0.25">
      <c r="A41" s="42" t="s">
        <v>127</v>
      </c>
      <c r="B41" s="19" t="s">
        <v>22</v>
      </c>
      <c r="C41" s="20" t="s">
        <v>23</v>
      </c>
      <c r="D41" s="60" t="s">
        <v>145</v>
      </c>
      <c r="E41" s="79"/>
      <c r="F41" s="82"/>
      <c r="G41" s="51">
        <f>82878835.06/1000</f>
        <v>82878.835059999998</v>
      </c>
      <c r="H41" s="22">
        <v>103250</v>
      </c>
      <c r="I41" s="85"/>
      <c r="J41" s="82"/>
      <c r="K41" s="88"/>
      <c r="L41" s="71"/>
      <c r="M41" s="22">
        <v>0</v>
      </c>
      <c r="N41" s="22">
        <v>9124.2754199999999</v>
      </c>
      <c r="O41" s="22">
        <v>0</v>
      </c>
      <c r="P41" s="24">
        <f t="shared" ref="P41:P42" si="4">O41-M41-N41</f>
        <v>-9124.2754199999999</v>
      </c>
      <c r="Q41" s="15"/>
      <c r="R41" s="15"/>
    </row>
    <row r="42" spans="1:18" ht="80.25" customHeight="1" x14ac:dyDescent="0.25">
      <c r="A42" s="12" t="s">
        <v>128</v>
      </c>
      <c r="B42" s="19" t="s">
        <v>27</v>
      </c>
      <c r="C42" s="20" t="s">
        <v>28</v>
      </c>
      <c r="D42" s="61"/>
      <c r="E42" s="80"/>
      <c r="F42" s="83"/>
      <c r="G42" s="51">
        <f>82878835.06/1000</f>
        <v>82878.835059999998</v>
      </c>
      <c r="H42" s="22">
        <v>103250</v>
      </c>
      <c r="I42" s="86"/>
      <c r="J42" s="83"/>
      <c r="K42" s="89"/>
      <c r="L42" s="72"/>
      <c r="M42" s="22">
        <v>0</v>
      </c>
      <c r="N42" s="22">
        <v>9124.2754299999997</v>
      </c>
      <c r="O42" s="22">
        <v>0</v>
      </c>
      <c r="P42" s="24">
        <f t="shared" si="4"/>
        <v>-9124.2754299999997</v>
      </c>
    </row>
    <row r="43" spans="1:18" s="6" customFormat="1" x14ac:dyDescent="0.25">
      <c r="A43" s="5" t="s">
        <v>5</v>
      </c>
      <c r="B43" s="5"/>
      <c r="C43" s="5"/>
      <c r="D43" s="5"/>
      <c r="E43" s="5"/>
      <c r="F43" s="4"/>
      <c r="G43" s="4">
        <f>G38+G39+G40</f>
        <v>234537.15706026467</v>
      </c>
      <c r="H43" s="4">
        <f>H38+H39+H40</f>
        <v>206500</v>
      </c>
      <c r="I43" s="4"/>
      <c r="J43" s="4"/>
      <c r="K43" s="4"/>
      <c r="L43" s="4"/>
      <c r="M43" s="4">
        <f t="shared" ref="M43:P43" si="5">M38+M39+M40</f>
        <v>3293.3500665308152</v>
      </c>
      <c r="N43" s="4">
        <f t="shared" si="5"/>
        <v>22064.75569442346</v>
      </c>
      <c r="O43" s="4">
        <f t="shared" si="5"/>
        <v>8416.5000600000003</v>
      </c>
      <c r="P43" s="4">
        <f t="shared" si="5"/>
        <v>-16941.605700954275</v>
      </c>
    </row>
    <row r="44" spans="1:18" s="6" customFormat="1" x14ac:dyDescent="0.25">
      <c r="A44" s="13" t="s">
        <v>8</v>
      </c>
      <c r="B44" s="5"/>
      <c r="C44" s="5"/>
      <c r="D44" s="5"/>
      <c r="E44" s="5"/>
      <c r="F44" s="4"/>
      <c r="G44" s="4">
        <f>G36+G43</f>
        <v>474882.38352026464</v>
      </c>
      <c r="H44" s="4">
        <f>H36+H43</f>
        <v>456426.61274000001</v>
      </c>
      <c r="I44" s="4"/>
      <c r="J44" s="4"/>
      <c r="K44" s="4"/>
      <c r="L44" s="4"/>
      <c r="M44" s="4">
        <f>M36+M43</f>
        <v>6108.704066530815</v>
      </c>
      <c r="N44" s="4">
        <f>N36+N43</f>
        <v>44951.011074423463</v>
      </c>
      <c r="O44" s="4">
        <f>O36+O43</f>
        <v>12415.77306</v>
      </c>
      <c r="P44" s="57">
        <f>P36+P43</f>
        <v>-38643.942080954279</v>
      </c>
    </row>
  </sheetData>
  <mergeCells count="47">
    <mergeCell ref="A9:C9"/>
    <mergeCell ref="B10:D10"/>
    <mergeCell ref="F10:F31"/>
    <mergeCell ref="I10:I31"/>
    <mergeCell ref="J10:J31"/>
    <mergeCell ref="B11:D11"/>
    <mergeCell ref="B27:D27"/>
    <mergeCell ref="E10:E31"/>
    <mergeCell ref="E38:E39"/>
    <mergeCell ref="L38:L39"/>
    <mergeCell ref="O38:O39"/>
    <mergeCell ref="P38:P39"/>
    <mergeCell ref="O33:O34"/>
    <mergeCell ref="P33:P34"/>
    <mergeCell ref="E32:E34"/>
    <mergeCell ref="F32:F34"/>
    <mergeCell ref="I32:I34"/>
    <mergeCell ref="J32:J34"/>
    <mergeCell ref="K32:K34"/>
    <mergeCell ref="L32:L34"/>
    <mergeCell ref="E40:E42"/>
    <mergeCell ref="F40:F42"/>
    <mergeCell ref="I40:I42"/>
    <mergeCell ref="J40:J42"/>
    <mergeCell ref="K40:K42"/>
    <mergeCell ref="L10:L31"/>
    <mergeCell ref="Q6:Q8"/>
    <mergeCell ref="M6:P6"/>
    <mergeCell ref="M7:N7"/>
    <mergeCell ref="O7:O8"/>
    <mergeCell ref="P7:P8"/>
    <mergeCell ref="D41:D42"/>
    <mergeCell ref="A3:L3"/>
    <mergeCell ref="A6:A8"/>
    <mergeCell ref="B6:B8"/>
    <mergeCell ref="C6:C8"/>
    <mergeCell ref="D6:D8"/>
    <mergeCell ref="F6:F8"/>
    <mergeCell ref="G6:G8"/>
    <mergeCell ref="E6:E8"/>
    <mergeCell ref="J6:J8"/>
    <mergeCell ref="H6:H8"/>
    <mergeCell ref="I6:I8"/>
    <mergeCell ref="K6:K8"/>
    <mergeCell ref="L6:L8"/>
    <mergeCell ref="A4:L4"/>
    <mergeCell ref="L40:L42"/>
  </mergeCells>
  <phoneticPr fontId="8" type="noConversion"/>
  <printOptions horizontalCentered="1"/>
  <pageMargins left="0.19685039370078741" right="0.19685039370078741" top="0.19685039370078741" bottom="0.19685039370078741" header="0" footer="0.15748031496062992"/>
  <pageSetup paperSize="8" scale="71" fitToHeight="0" orientation="landscape" r:id="rId1"/>
  <headerFooter alignWithMargins="0">
    <oddFooter>&amp;C
Страница &amp;P из &amp;N</oddFooter>
  </headerFooter>
  <colBreaks count="1" manualBreakCount="1">
    <brk id="1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Имущество +</vt:lpstr>
      <vt:lpstr>Лист1</vt:lpstr>
      <vt:lpstr>'Имущество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2024-12-04T21:57:52Z</dcterms:modified>
</cp:coreProperties>
</file>